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'всього'!$B$1:$N$43</definedName>
    <definedName name="_xlnm.Print_Area" localSheetId="4">'держ.бюджет'!$A$1:$N$43</definedName>
    <definedName name="_xlnm.Print_Area" localSheetId="7">'інші'!$A$1:$N$43</definedName>
    <definedName name="_xlnm.Print_Area" localSheetId="5">'місц.-районн.бюджет'!$A$1:$N$43</definedName>
    <definedName name="_xlnm.Print_Area" localSheetId="1">'насел.'!$A$1:$N$43</definedName>
    <definedName name="_xlnm.Print_Area" localSheetId="6">'областной'!$A$1:$N$43</definedName>
    <definedName name="_xlnm.Print_Area" localSheetId="2">'пільги'!$A$1:$N$43</definedName>
    <definedName name="_xlnm.Print_Area" localSheetId="3">'субсидії'!$A$1:$N$43</definedName>
  </definedNames>
  <calcPr fullCalcOnLoad="1"/>
</workbook>
</file>

<file path=xl/sharedStrings.xml><?xml version="1.0" encoding="utf-8"?>
<sst xmlns="http://schemas.openxmlformats.org/spreadsheetml/2006/main" count="742" uniqueCount="151">
  <si>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</si>
  <si>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</si>
  <si>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</si>
  <si>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</si>
  <si>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</si>
  <si>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</si>
  <si>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</si>
  <si>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</si>
  <si>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</si>
  <si>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</si>
  <si>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</si>
  <si>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</si>
  <si>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</si>
  <si>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</si>
  <si>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</si>
  <si>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</si>
  <si>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</si>
  <si>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</si>
  <si>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</si>
  <si>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</si>
  <si>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</si>
  <si>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</si>
  <si>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</si>
  <si>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</si>
  <si>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</si>
  <si>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</si>
  <si>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</si>
  <si>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</si>
  <si>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</si>
  <si>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</si>
  <si>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</si>
  <si>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</si>
  <si>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</si>
  <si>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</si>
  <si>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</si>
  <si>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</si>
  <si>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</si>
  <si>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</si>
  <si>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</si>
  <si>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</si>
  <si>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</si>
  <si>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</si>
  <si>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</si>
  <si>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</si>
  <si>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</si>
  <si>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</si>
  <si>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</si>
  <si>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</si>
  <si>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</si>
  <si>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</si>
  <si>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</si>
  <si>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</si>
  <si>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</si>
  <si>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</si>
  <si>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</si>
  <si>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</si>
  <si>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</si>
  <si>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</si>
  <si>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</si>
  <si>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</si>
  <si>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</si>
  <si>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</si>
  <si>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</si>
  <si>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</si>
  <si>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</si>
  <si>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</si>
  <si>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</si>
  <si>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</si>
  <si>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</si>
  <si>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</si>
  <si>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</si>
  <si>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</si>
  <si>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</si>
  <si>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</si>
  <si>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</si>
  <si>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</si>
  <si>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</si>
  <si>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</si>
  <si>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</si>
  <si>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</si>
  <si>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</si>
  <si>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</si>
  <si>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</si>
  <si>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</si>
  <si>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</si>
  <si>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</si>
  <si>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</si>
  <si>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</si>
  <si>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</si>
  <si>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</si>
  <si>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</si>
  <si>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</si>
  <si>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</si>
  <si>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</si>
  <si>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</si>
  <si>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</si>
  <si>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</si>
  <si>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</si>
  <si>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</si>
  <si>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</si>
  <si>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</si>
  <si>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</si>
  <si>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</si>
  <si>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</si>
  <si>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</si>
  <si>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</si>
  <si>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</si>
  <si>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</si>
  <si>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</si>
  <si>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</si>
  <si>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</si>
  <si>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</si>
  <si>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</si>
  <si>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</si>
  <si>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</si>
  <si>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</si>
  <si>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</si>
  <si>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</si>
  <si>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</si>
  <si>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</si>
  <si>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</si>
  <si>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</si>
  <si>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</si>
  <si>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</si>
  <si>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</si>
  <si>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</si>
  <si>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</si>
  <si>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</si>
  <si>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</si>
  <si>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</si>
  <si>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</si>
  <si>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</si>
  <si>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</si>
  <si>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</si>
  <si>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</si>
  <si>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</si>
  <si>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</si>
  <si>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</si>
  <si>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</si>
  <si>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</si>
  <si>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</si>
  <si>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</si>
  <si>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</si>
  <si>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</si>
  <si>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по оплате услуг водоснабжения и водоотведения на 01.03.2017</t>
  </si>
  <si>
    <t>Общая задолженность на 01.03.2017 (с учетом долгов прошлых лет)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</si>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</sst>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0" fillId="33" borderId="0" xfId="0" applyFont="1" applyFill="1" applyAlignment="1">
      <alignment horizontal="center"/>
    </xf>
    <xf numFmtId="188" fontId="60" fillId="3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18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92" fontId="4" fillId="33" borderId="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16" fillId="33" borderId="11" xfId="0" applyNumberFormat="1" applyFont="1" applyFill="1" applyBorder="1" applyAlignment="1">
      <alignment/>
    </xf>
    <xf numFmtId="1" fontId="21" fillId="33" borderId="13" xfId="0" applyNumberFormat="1" applyFont="1" applyFill="1" applyBorder="1" applyAlignment="1">
      <alignment/>
    </xf>
    <xf numFmtId="192" fontId="16" fillId="33" borderId="14" xfId="0" applyNumberFormat="1" applyFont="1" applyFill="1" applyBorder="1" applyAlignment="1">
      <alignment/>
    </xf>
    <xf numFmtId="192" fontId="4" fillId="33" borderId="14" xfId="0" applyNumberFormat="1" applyFont="1" applyFill="1" applyBorder="1" applyAlignment="1">
      <alignment/>
    </xf>
    <xf numFmtId="192" fontId="4" fillId="33" borderId="11" xfId="0" applyNumberFormat="1" applyFont="1" applyFill="1" applyBorder="1" applyAlignment="1">
      <alignment/>
    </xf>
    <xf numFmtId="0" fontId="21" fillId="33" borderId="13" xfId="0" applyFont="1" applyFill="1" applyBorder="1" applyAlignment="1">
      <alignment/>
    </xf>
    <xf numFmtId="192" fontId="4" fillId="33" borderId="0" xfId="0" applyNumberFormat="1" applyFont="1" applyFill="1" applyBorder="1" applyAlignment="1">
      <alignment horizontal="center"/>
    </xf>
    <xf numFmtId="192" fontId="16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92" fontId="17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92" fontId="17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4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192" fontId="12" fillId="33" borderId="10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88" fontId="12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92" fontId="14" fillId="33" borderId="10" xfId="0" applyNumberFormat="1" applyFont="1" applyFill="1" applyBorder="1" applyAlignment="1">
      <alignment/>
    </xf>
    <xf numFmtId="192" fontId="14" fillId="33" borderId="11" xfId="0" applyNumberFormat="1" applyFont="1" applyFill="1" applyBorder="1" applyAlignment="1">
      <alignment/>
    </xf>
    <xf numFmtId="192" fontId="14" fillId="33" borderId="14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92" fontId="14" fillId="33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92" fontId="12" fillId="33" borderId="11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left" wrapText="1"/>
    </xf>
    <xf numFmtId="192" fontId="6" fillId="0" borderId="17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188" fontId="60" fillId="0" borderId="0" xfId="0" applyNumberFormat="1" applyFont="1" applyFill="1" applyAlignment="1">
      <alignment/>
    </xf>
    <xf numFmtId="0" fontId="61" fillId="0" borderId="0" xfId="0" applyFont="1" applyFill="1" applyAlignment="1">
      <alignment horizontal="right" vertical="center" wrapText="1"/>
    </xf>
    <xf numFmtId="0" fontId="61" fillId="0" borderId="0" xfId="0" applyFont="1" applyFill="1" applyAlignment="1">
      <alignment horizontal="right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49" fontId="62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192" fontId="64" fillId="0" borderId="10" xfId="0" applyNumberFormat="1" applyFont="1" applyFill="1" applyBorder="1" applyAlignment="1">
      <alignment/>
    </xf>
    <xf numFmtId="192" fontId="65" fillId="0" borderId="10" xfId="0" applyNumberFormat="1" applyFont="1" applyFill="1" applyBorder="1" applyAlignment="1">
      <alignment wrapText="1"/>
    </xf>
    <xf numFmtId="0" fontId="62" fillId="0" borderId="0" xfId="0" applyFont="1" applyFill="1" applyAlignment="1">
      <alignment/>
    </xf>
    <xf numFmtId="0" fontId="19" fillId="33" borderId="18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192" fontId="65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1" fillId="0" borderId="13" xfId="0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192" fontId="5" fillId="0" borderId="17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1" fillId="0" borderId="0" xfId="0" applyNumberFormat="1" applyFont="1" applyFill="1" applyAlignment="1">
      <alignment/>
    </xf>
    <xf numFmtId="192" fontId="11" fillId="33" borderId="10" xfId="0" applyNumberFormat="1" applyFont="1" applyFill="1" applyBorder="1" applyAlignment="1">
      <alignment horizontal="right" wrapText="1"/>
    </xf>
    <xf numFmtId="192" fontId="11" fillId="33" borderId="11" xfId="0" applyNumberFormat="1" applyFont="1" applyFill="1" applyBorder="1" applyAlignment="1">
      <alignment wrapText="1"/>
    </xf>
    <xf numFmtId="192" fontId="11" fillId="33" borderId="14" xfId="0" applyNumberFormat="1" applyFont="1" applyFill="1" applyBorder="1" applyAlignment="1">
      <alignment wrapText="1"/>
    </xf>
    <xf numFmtId="192" fontId="61" fillId="33" borderId="14" xfId="0" applyNumberFormat="1" applyFont="1" applyFill="1" applyBorder="1" applyAlignment="1">
      <alignment wrapText="1"/>
    </xf>
    <xf numFmtId="192" fontId="65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 wrapText="1"/>
    </xf>
    <xf numFmtId="1" fontId="3" fillId="33" borderId="0" xfId="0" applyNumberFormat="1" applyFont="1" applyFill="1" applyAlignment="1">
      <alignment/>
    </xf>
    <xf numFmtId="188" fontId="61" fillId="33" borderId="0" xfId="0" applyNumberFormat="1" applyFont="1" applyFill="1" applyAlignment="1">
      <alignment/>
    </xf>
    <xf numFmtId="192" fontId="61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 wrapText="1"/>
    </xf>
    <xf numFmtId="192" fontId="22" fillId="33" borderId="0" xfId="0" applyNumberFormat="1" applyFont="1" applyFill="1" applyBorder="1" applyAlignment="1">
      <alignment horizontal="center" vertical="center" wrapText="1"/>
    </xf>
    <xf numFmtId="192" fontId="15" fillId="33" borderId="14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3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6" fillId="0" borderId="0" xfId="0" applyFont="1" applyFill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6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4" fillId="33" borderId="2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192" fontId="3" fillId="33" borderId="13" xfId="0" applyNumberFormat="1" applyFont="1" applyFill="1" applyBorder="1" applyAlignment="1">
      <alignment horizontal="center"/>
    </xf>
    <xf numFmtId="192" fontId="3" fillId="33" borderId="19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53"/>
  <sheetViews>
    <sheetView tabSelected="1" view="pageBreakPreview" zoomScale="76" zoomScaleNormal="50" zoomScaleSheetLayoutView="76" zoomScalePageLayoutView="0" workbookViewId="0" topLeftCell="B2">
      <pane xSplit="5" ySplit="8" topLeftCell="L40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M42" sqref="M42"/>
    </sheetView>
  </sheetViews>
  <sheetFormatPr defaultColWidth="6.75390625" defaultRowHeight="32.25" customHeight="1"/>
  <cols>
    <col min="1" max="1" width="4.875" style="103" hidden="1" customWidth="1"/>
    <col min="2" max="2" width="51.625" style="104" customWidth="1"/>
    <col min="3" max="3" width="16.75390625" style="105" customWidth="1"/>
    <col min="4" max="4" width="21.125" style="104" customWidth="1"/>
    <col min="5" max="5" width="21.00390625" style="104" customWidth="1"/>
    <col min="6" max="6" width="12.625" style="114" customWidth="1"/>
    <col min="7" max="8" width="14.625" style="104" customWidth="1"/>
    <col min="9" max="9" width="11.00390625" style="114" customWidth="1"/>
    <col min="10" max="11" width="14.625" style="104" customWidth="1"/>
    <col min="12" max="12" width="11.00390625" style="114" customWidth="1"/>
    <col min="13" max="13" width="20.75390625" style="104" customWidth="1"/>
    <col min="14" max="14" width="21.875" style="104" customWidth="1"/>
    <col min="15" max="15" width="13.00390625" style="104" customWidth="1"/>
    <col min="16" max="16" width="14.375" style="104" customWidth="1"/>
    <col min="17" max="17" width="13.00390625" style="104" bestFit="1" customWidth="1"/>
    <col min="18" max="18" width="13.375" style="104" customWidth="1"/>
    <col min="19" max="16384" width="6.75390625" style="104" customWidth="1"/>
  </cols>
  <sheetData>
    <row r="1" spans="9:14" ht="22.5" customHeight="1" hidden="1">
      <c r="I1" s="195"/>
      <c r="J1" s="196"/>
      <c r="K1" s="196"/>
      <c r="L1" s="196"/>
      <c r="M1" s="196"/>
      <c r="N1" s="196"/>
    </row>
    <row r="2" spans="2:14" ht="32.25" customHeight="1">
      <c r="B2" s="197" t="s">
        <v>86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14" ht="22.5" customHeight="1">
      <c r="B3" s="197" t="s">
        <v>144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4" ht="19.5" customHeight="1">
      <c r="B4" s="198"/>
      <c r="C4" s="198"/>
      <c r="D4" s="198"/>
      <c r="E4" s="198"/>
      <c r="F4" s="198"/>
      <c r="G4" s="109"/>
      <c r="H4" s="109"/>
      <c r="I4" s="108"/>
      <c r="J4" s="109"/>
      <c r="K4" s="109"/>
      <c r="L4" s="108"/>
      <c r="M4" s="109"/>
      <c r="N4" s="107" t="s">
        <v>88</v>
      </c>
    </row>
    <row r="5" spans="1:14" ht="36.75" customHeight="1">
      <c r="A5" s="163" t="s">
        <v>56</v>
      </c>
      <c r="B5" s="164"/>
      <c r="C5" s="165" t="s">
        <v>1</v>
      </c>
      <c r="D5" s="190" t="s">
        <v>146</v>
      </c>
      <c r="E5" s="191"/>
      <c r="F5" s="192"/>
      <c r="G5" s="207" t="s">
        <v>147</v>
      </c>
      <c r="H5" s="208"/>
      <c r="I5" s="209"/>
      <c r="J5" s="190" t="s">
        <v>148</v>
      </c>
      <c r="K5" s="191"/>
      <c r="L5" s="192"/>
      <c r="M5" s="193" t="s">
        <v>149</v>
      </c>
      <c r="N5" s="193" t="s">
        <v>145</v>
      </c>
    </row>
    <row r="6" spans="1:14" ht="46.5" customHeight="1">
      <c r="A6" s="166" t="s">
        <v>57</v>
      </c>
      <c r="B6" s="167" t="s">
        <v>89</v>
      </c>
      <c r="C6" s="160" t="s">
        <v>143</v>
      </c>
      <c r="D6" s="168" t="s">
        <v>150</v>
      </c>
      <c r="E6" s="168" t="s">
        <v>91</v>
      </c>
      <c r="F6" s="174" t="s">
        <v>0</v>
      </c>
      <c r="G6" s="168" t="s">
        <v>150</v>
      </c>
      <c r="H6" s="168" t="s">
        <v>91</v>
      </c>
      <c r="I6" s="174" t="s">
        <v>0</v>
      </c>
      <c r="J6" s="168" t="s">
        <v>150</v>
      </c>
      <c r="K6" s="168" t="s">
        <v>91</v>
      </c>
      <c r="L6" s="174" t="s">
        <v>0</v>
      </c>
      <c r="M6" s="194"/>
      <c r="N6" s="194"/>
    </row>
    <row r="7" spans="1:18" s="114" customFormat="1" ht="35.25" customHeight="1">
      <c r="A7" s="110"/>
      <c r="B7" s="111" t="s">
        <v>90</v>
      </c>
      <c r="C7" s="120">
        <f>'насел.'!C7+пільги!C7+субсидії!C7+'держ.бюджет'!C7+'місц.-районн.бюджет'!C7+областной!C7+інші!C7</f>
        <v>13690.600000000006</v>
      </c>
      <c r="D7" s="120">
        <f>'насел.'!D7+пільги!D7+субсидії!D7+'держ.бюджет'!D7+'місц.-районн.бюджет'!D7+областной!D7+інші!D7</f>
        <v>22634.199999999997</v>
      </c>
      <c r="E7" s="120">
        <f>'насел.'!E7+пільги!E7+субсидії!E7+'держ.бюджет'!E7+'місц.-районн.бюджет'!E7+областной!E7+інші!E7</f>
        <v>27364.1</v>
      </c>
      <c r="F7" s="113">
        <f>E7/D7*100</f>
        <v>120.89713795937122</v>
      </c>
      <c r="G7" s="120">
        <f>'насел.'!G7+пільги!G7+субсидії!G7+'держ.бюджет'!G7+'місц.-районн.бюджет'!G7+областной!G7+інші!G7</f>
        <v>22756.1</v>
      </c>
      <c r="H7" s="120">
        <f>'насел.'!H7+пільги!H7+субсидії!H7+'держ.бюджет'!H7+'місц.-районн.бюджет'!H7+областной!H7+інші!H7</f>
        <v>15696.999999999998</v>
      </c>
      <c r="I7" s="113">
        <f aca="true" t="shared" si="0" ref="I7:I27">H7/G7*100</f>
        <v>68.97930664744837</v>
      </c>
      <c r="J7" s="120">
        <f>'насел.'!J7+пільги!J7+субсидії!J7+'держ.бюджет'!J7+'місц.-районн.бюджет'!J7+областной!J7+інші!J7</f>
        <v>45390.299999999996</v>
      </c>
      <c r="K7" s="120">
        <f>'насел.'!K7+пільги!K7+субсидії!K7+'держ.бюджет'!K7+'місц.-районн.бюджет'!K7+областной!K7+інші!K7</f>
        <v>43061.100000000006</v>
      </c>
      <c r="L7" s="113">
        <f aca="true" t="shared" si="1" ref="L7:L27">K7/J7*100</f>
        <v>94.868507148003</v>
      </c>
      <c r="M7" s="112">
        <f>'насел.'!M7+пільги!M7+субсидії!M7+'держ.бюджет'!M7+'місц.-районн.бюджет'!M7+областной!M7+інші!M7</f>
        <v>2329.199999999999</v>
      </c>
      <c r="N7" s="112">
        <f>'насел.'!N7+пільги!N7+субсидії!N7+'держ.бюджет'!N7+'місц.-районн.бюджет'!N7+областной!N7+інші!N7</f>
        <v>16019.800000000007</v>
      </c>
      <c r="O7" s="150">
        <f>D7+G7</f>
        <v>45390.299999999996</v>
      </c>
      <c r="P7" s="150">
        <f>E7+H7</f>
        <v>43061.1</v>
      </c>
      <c r="Q7" s="150">
        <f>O7-P7</f>
        <v>2329.199999999997</v>
      </c>
      <c r="R7" s="150">
        <f>C7+J7-K7</f>
        <v>16019.799999999996</v>
      </c>
    </row>
    <row r="8" spans="1:14" ht="27" customHeight="1">
      <c r="A8" s="115" t="s">
        <v>14</v>
      </c>
      <c r="B8" s="149" t="s">
        <v>92</v>
      </c>
      <c r="C8" s="116">
        <f>'насел.'!C8+пільги!C8+субсидії!C8+'держ.бюджет'!C8+'місц.-районн.бюджет'!C8+областной!C8+інші!C8</f>
        <v>-2009.1000000000004</v>
      </c>
      <c r="D8" s="116">
        <f>'насел.'!D8+пільги!D8+субсидії!D8+'держ.бюджет'!D8+'місц.-районн.бюджет'!D8+областной!D8+інші!D8</f>
        <v>1672.1</v>
      </c>
      <c r="E8" s="116">
        <f>'насел.'!E8+пільги!E8+субсидії!E8+'держ.бюджет'!E8+'місц.-районн.бюджет'!E8+областной!E8+інші!E8</f>
        <v>1523.3999999999999</v>
      </c>
      <c r="F8" s="113">
        <f>E8/D8*100</f>
        <v>91.10699120865976</v>
      </c>
      <c r="G8" s="116">
        <f>'насел.'!G8+пільги!G8+субсидії!G8+'держ.бюджет'!G8+'місц.-районн.бюджет'!G8+областной!G8+інші!G8</f>
        <v>1662.4</v>
      </c>
      <c r="H8" s="116">
        <f>'насел.'!H8+пільги!H8+субсидії!H8+'держ.бюджет'!H8+'місц.-районн.бюджет'!H8+областной!H8+інші!H8</f>
        <v>2410.8</v>
      </c>
      <c r="I8" s="113">
        <f t="shared" si="0"/>
        <v>145.01924927815207</v>
      </c>
      <c r="J8" s="116">
        <f>'насел.'!J8+пільги!J8+субсидії!J8+'держ.бюджет'!J8+'місц.-районн.бюджет'!J8+областной!J8+інші!J8</f>
        <v>3334.5</v>
      </c>
      <c r="K8" s="116">
        <f>'насел.'!K8+пільги!K8+субсидії!K8+'держ.бюджет'!K8+'місц.-районн.бюджет'!K8+областной!K8+інші!K8</f>
        <v>3934.2000000000003</v>
      </c>
      <c r="L8" s="113">
        <f t="shared" si="1"/>
        <v>117.98470535312642</v>
      </c>
      <c r="M8" s="120">
        <f>'насел.'!M8+пільги!M8+субсидії!M8+'держ.бюджет'!M8+'місц.-районн.бюджет'!M8+областной!M8+інші!M8</f>
        <v>-599.6999999999999</v>
      </c>
      <c r="N8" s="120">
        <f>'насел.'!N8+пільги!N8+субсидії!N8+'держ.бюджет'!N8+'місц.-районн.бюджет'!N8+областной!N8+інші!N8</f>
        <v>-2608.7999999999997</v>
      </c>
    </row>
    <row r="9" spans="1:14" ht="27" customHeight="1">
      <c r="A9" s="115" t="s">
        <v>15</v>
      </c>
      <c r="B9" s="149" t="s">
        <v>93</v>
      </c>
      <c r="C9" s="116">
        <f>'насел.'!C9+пільги!C9+субсидії!C9+'держ.бюджет'!C9+'місц.-районн.бюджет'!C9+областной!C9+інші!C9</f>
        <v>-652.5</v>
      </c>
      <c r="D9" s="116">
        <f>'насел.'!D9+пільги!D9+субсидії!D9+'держ.бюджет'!D9+'місц.-районн.бюджет'!D9+областной!D9+інші!D9</f>
        <v>272.8</v>
      </c>
      <c r="E9" s="116">
        <f>'насел.'!E9+пільги!E9+субсидії!E9+'держ.бюджет'!E9+'місц.-районн.бюджет'!E9+областной!E9+інші!E9</f>
        <v>783.8999999999999</v>
      </c>
      <c r="F9" s="113">
        <f aca="true" t="shared" si="2" ref="F9:F28">E9/D9*100</f>
        <v>287.35337243401756</v>
      </c>
      <c r="G9" s="116">
        <f>'насел.'!G9+пільги!G9+субсидії!G9+'держ.бюджет'!G9+'місц.-районн.бюджет'!G9+областной!G9+інші!G9</f>
        <v>280.8</v>
      </c>
      <c r="H9" s="116">
        <f>'насел.'!H9+пільги!H9+субсидії!H9+'держ.бюджет'!H9+'місц.-районн.бюджет'!H9+областной!H9+інші!H9</f>
        <v>123.80000000000001</v>
      </c>
      <c r="I9" s="113">
        <f t="shared" si="0"/>
        <v>44.08831908831909</v>
      </c>
      <c r="J9" s="116">
        <f>'насел.'!J9+пільги!J9+субсидії!J9+'держ.бюджет'!J9+'місц.-районн.бюджет'!J9+областной!J9+інші!J9</f>
        <v>553.6</v>
      </c>
      <c r="K9" s="116">
        <f>'насел.'!K9+пільги!K9+субсидії!K9+'держ.бюджет'!K9+'місц.-районн.бюджет'!K9+областной!K9+інші!K9</f>
        <v>907.7</v>
      </c>
      <c r="L9" s="113">
        <f t="shared" si="1"/>
        <v>163.96315028901734</v>
      </c>
      <c r="M9" s="120">
        <f>'насел.'!M9+пільги!M9+субсидії!M9+'держ.бюджет'!M9+'місц.-районн.бюджет'!M9+областной!M9+інші!M9</f>
        <v>-354.1</v>
      </c>
      <c r="N9" s="120">
        <f>'насел.'!N9+пільги!N9+субсидії!N9+'держ.бюджет'!N9+'місц.-районн.бюджет'!N9+областной!N9+інші!N9</f>
        <v>-1006.6</v>
      </c>
    </row>
    <row r="10" spans="1:14" ht="27" customHeight="1">
      <c r="A10" s="115" t="s">
        <v>16</v>
      </c>
      <c r="B10" s="117" t="s">
        <v>135</v>
      </c>
      <c r="C10" s="116">
        <f>'насел.'!C10+пільги!C10+субсидії!C10+'держ.бюджет'!C10+'місц.-районн.бюджет'!C10+областной!C10+інші!C10</f>
        <v>-95.60000000000001</v>
      </c>
      <c r="D10" s="116">
        <f>'насел.'!D10+пільги!D10+субсидії!D10+'держ.бюджет'!D10+'місц.-районн.бюджет'!D10+областной!D10+інші!D10</f>
        <v>50.9</v>
      </c>
      <c r="E10" s="116">
        <f>'насел.'!E10+пільги!E10+субсидії!E10+'держ.бюджет'!E10+'місц.-районн.бюджет'!E10+областной!E10+інші!E10</f>
        <v>93.5</v>
      </c>
      <c r="F10" s="113">
        <f t="shared" si="2"/>
        <v>183.69351669941062</v>
      </c>
      <c r="G10" s="116">
        <f>'насел.'!G10+пільги!G10+субсидії!G10+'держ.бюджет'!G10+'місц.-районн.бюджет'!G10+областной!G10+інші!G10</f>
        <v>87.39999999999999</v>
      </c>
      <c r="H10" s="116">
        <f>'насел.'!H10+пільги!H10+субсидії!H10+'держ.бюджет'!H10+'місц.-районн.бюджет'!H10+областной!H10+інші!H10</f>
        <v>23.7</v>
      </c>
      <c r="I10" s="113">
        <f t="shared" si="0"/>
        <v>27.11670480549199</v>
      </c>
      <c r="J10" s="116">
        <f>'насел.'!J10+пільги!J10+субсидії!J10+'держ.бюджет'!J10+'місц.-районн.бюджет'!J10+областной!J10+інші!J10</f>
        <v>138.3</v>
      </c>
      <c r="K10" s="116">
        <f>'насел.'!K10+пільги!K10+субсидії!K10+'держ.бюджет'!K10+'місц.-районн.бюджет'!K10+областной!K10+інші!K10</f>
        <v>117.20000000000002</v>
      </c>
      <c r="L10" s="113">
        <f t="shared" si="1"/>
        <v>84.74331164135937</v>
      </c>
      <c r="M10" s="120">
        <f>'насел.'!M10+пільги!M10+субсидії!M10+'держ.бюджет'!M10+'місц.-районн.бюджет'!M10+областной!M10+інші!M10</f>
        <v>21.1</v>
      </c>
      <c r="N10" s="120">
        <f>'насел.'!N10+пільги!N10+субсидії!N10+'держ.бюджет'!N10+'місц.-районн.бюджет'!N10+областной!N10+інші!N10</f>
        <v>-74.49999999999997</v>
      </c>
    </row>
    <row r="11" spans="1:14" ht="26.25" customHeight="1">
      <c r="A11" s="115" t="s">
        <v>17</v>
      </c>
      <c r="B11" s="149" t="s">
        <v>94</v>
      </c>
      <c r="C11" s="116">
        <f>'насел.'!C11+пільги!C11+субсидії!C11+'держ.бюджет'!C11+'місц.-районн.бюджет'!C11+областной!C11+інші!C11</f>
        <v>-556.1999999999999</v>
      </c>
      <c r="D11" s="116">
        <f>'насел.'!D11+пільги!D11+субсидії!D11+'держ.бюджет'!D11+'місц.-районн.бюджет'!D11+областной!D11+інші!D11</f>
        <v>941.9999999999999</v>
      </c>
      <c r="E11" s="116">
        <f>'насел.'!E11+пільги!E11+субсидії!E11+'держ.бюджет'!E11+'місц.-районн.бюджет'!E11+областной!E11+інші!E11</f>
        <v>733.6999999999999</v>
      </c>
      <c r="F11" s="113">
        <f t="shared" si="2"/>
        <v>77.88747346072186</v>
      </c>
      <c r="G11" s="116">
        <f>'насел.'!G11+пільги!G11+субсидії!G11+'держ.бюджет'!G11+'місц.-районн.бюджет'!G11+областной!G11+інші!G11</f>
        <v>424.4</v>
      </c>
      <c r="H11" s="116">
        <f>'насел.'!H11+пільги!H11+субсидії!H11+'держ.бюджет'!H11+'місц.-районн.бюджет'!H11+областной!H11+інші!H11</f>
        <v>675.1</v>
      </c>
      <c r="I11" s="113">
        <f t="shared" si="0"/>
        <v>159.07163053722903</v>
      </c>
      <c r="J11" s="116">
        <f>'насел.'!J11+пільги!J11+субсидії!J11+'держ.бюджет'!J11+'місц.-районн.бюджет'!J11+областной!J11+інші!J11</f>
        <v>1366.3999999999999</v>
      </c>
      <c r="K11" s="116">
        <f>'насел.'!K11+пільги!K11+субсидії!K11+'держ.бюджет'!K11+'місц.-районн.бюджет'!K11+областной!K11+інші!K11</f>
        <v>1408.8000000000002</v>
      </c>
      <c r="L11" s="113">
        <f t="shared" si="1"/>
        <v>103.10304449648714</v>
      </c>
      <c r="M11" s="120">
        <f>'насел.'!M11+пільги!M11+субсидії!M11+'держ.бюджет'!M11+'місц.-районн.бюджет'!M11+областной!M11+інші!M11</f>
        <v>-42.40000000000008</v>
      </c>
      <c r="N11" s="120">
        <f>'насел.'!N11+пільги!N11+субсидії!N11+'держ.бюджет'!N11+'місц.-районн.бюджет'!N11+областной!N11+інші!N11</f>
        <v>-598.6000000000001</v>
      </c>
    </row>
    <row r="12" spans="1:14" s="156" customFormat="1" ht="25.5" customHeight="1">
      <c r="A12" s="152" t="s">
        <v>18</v>
      </c>
      <c r="B12" s="153" t="s">
        <v>95</v>
      </c>
      <c r="C12" s="154">
        <f>'насел.'!C12+пільги!C12+субсидії!C12+'держ.бюджет'!C12+'місц.-районн.бюджет'!C12+областной!C12+інші!C12</f>
        <v>51.90000000000005</v>
      </c>
      <c r="D12" s="154">
        <f>'насел.'!D12+пільги!D12+субсидії!D12+'держ.бюджет'!D12+'місц.-районн.бюджет'!D12+областной!D12+інші!D12</f>
        <v>369.29999999999995</v>
      </c>
      <c r="E12" s="154">
        <f>'насел.'!E12+пільги!E12+субсидії!E12+'держ.бюджет'!E12+'місц.-районн.бюджет'!E12+областной!E12+інші!E12</f>
        <v>615.6</v>
      </c>
      <c r="F12" s="155">
        <f t="shared" si="2"/>
        <v>166.693744922827</v>
      </c>
      <c r="G12" s="154">
        <f>'насел.'!G12+пільги!G12+субсидії!G12+'держ.бюджет'!G12+'місц.-районн.бюджет'!G12+областной!G12+інші!G12</f>
        <v>398.40000000000003</v>
      </c>
      <c r="H12" s="154">
        <f>'насел.'!H12+пільги!H12+субсидії!H12+'держ.бюджет'!H12+'місц.-районн.бюджет'!H12+областной!H12+інші!H12</f>
        <v>130.5</v>
      </c>
      <c r="I12" s="155">
        <f t="shared" si="0"/>
        <v>32.75602409638554</v>
      </c>
      <c r="J12" s="154">
        <f>'насел.'!J12+пільги!J12+субсидії!J12+'держ.бюджет'!J12+'місц.-районн.бюджет'!J12+областной!J12+інші!J12</f>
        <v>767.7</v>
      </c>
      <c r="K12" s="154">
        <f>'насел.'!K12+пільги!K12+субсидії!K12+'держ.бюджет'!K12+'місц.-районн.бюджет'!K12+областной!K12+інші!K12</f>
        <v>746.0999999999999</v>
      </c>
      <c r="L12" s="155">
        <f t="shared" si="1"/>
        <v>97.18640093786634</v>
      </c>
      <c r="M12" s="161">
        <f>'насел.'!M12+пільги!M12+субсидії!M12+'держ.бюджет'!M12+'місц.-районн.бюджет'!M12+областной!M12+інші!M12</f>
        <v>21.60000000000002</v>
      </c>
      <c r="N12" s="161">
        <f>'насел.'!N12+пільги!N12+субсидії!N12+'держ.бюджет'!N12+'місц.-районн.бюджет'!N12+областной!N12+інші!N12</f>
        <v>73.49999999999997</v>
      </c>
    </row>
    <row r="13" spans="1:14" ht="27" customHeight="1">
      <c r="A13" s="115" t="s">
        <v>19</v>
      </c>
      <c r="B13" s="149" t="s">
        <v>96</v>
      </c>
      <c r="C13" s="116">
        <f>'насел.'!C13+пільги!C13+субсидії!C13+'держ.бюджет'!C13+'місц.-районн.бюджет'!C13+областной!C13+інші!C13</f>
        <v>-739.9999999999999</v>
      </c>
      <c r="D13" s="116">
        <f>'насел.'!D13+пільги!D13+субсидії!D13+'держ.бюджет'!D13+'місц.-районн.бюджет'!D13+областной!D13+інші!D13</f>
        <v>394.79999999999995</v>
      </c>
      <c r="E13" s="116">
        <f>'насел.'!E13+пільги!E13+субсидії!E13+'держ.бюджет'!E13+'місц.-районн.бюджет'!E13+областной!E13+інші!E13</f>
        <v>366.3</v>
      </c>
      <c r="F13" s="113">
        <f t="shared" si="2"/>
        <v>92.78115501519758</v>
      </c>
      <c r="G13" s="116">
        <f>'насел.'!G13+пільги!G13+субсидії!G13+'держ.бюджет'!G13+'місц.-районн.бюджет'!G13+областной!G13+інші!G13</f>
        <v>438.2</v>
      </c>
      <c r="H13" s="116">
        <f>'насел.'!H13+пільги!H13+субсидії!H13+'держ.бюджет'!H13+'місц.-районн.бюджет'!H13+областной!H13+інші!H13</f>
        <v>239</v>
      </c>
      <c r="I13" s="113">
        <f t="shared" si="0"/>
        <v>54.54130534002739</v>
      </c>
      <c r="J13" s="116">
        <f>'насел.'!J13+пільги!J13+субсидії!J13+'держ.бюджет'!J13+'місц.-районн.бюджет'!J13+областной!J13+інші!J13</f>
        <v>832.9999999999999</v>
      </c>
      <c r="K13" s="116">
        <f>'насел.'!K13+пільги!K13+субсидії!K13+'держ.бюджет'!K13+'місц.-районн.бюджет'!K13+областной!K13+інші!K13</f>
        <v>605.3000000000001</v>
      </c>
      <c r="L13" s="113">
        <f t="shared" si="1"/>
        <v>72.66506602641059</v>
      </c>
      <c r="M13" s="120">
        <f>'насел.'!M13+пільги!M13+субсидії!M13+'держ.бюджет'!M13+'місц.-районн.бюджет'!M13+областной!M13+інші!M13</f>
        <v>227.69999999999993</v>
      </c>
      <c r="N13" s="120">
        <f>'насел.'!N13+пільги!N13+субсидії!N13+'держ.бюджет'!N13+'місц.-районн.бюджет'!N13+областной!N13+інші!N13</f>
        <v>-512.2999999999997</v>
      </c>
    </row>
    <row r="14" spans="1:14" ht="27" customHeight="1">
      <c r="A14" s="115" t="s">
        <v>20</v>
      </c>
      <c r="B14" s="149" t="s">
        <v>97</v>
      </c>
      <c r="C14" s="116">
        <f>'насел.'!C14+пільги!C14+субсидії!C14+'держ.бюджет'!C14+'місц.-районн.бюджет'!C14+областной!C14+інші!C14</f>
        <v>-361.19999999999993</v>
      </c>
      <c r="D14" s="116">
        <f>'насел.'!D14+пільги!D14+субсидії!D14+'держ.бюджет'!D14+'місц.-районн.бюджет'!D14+областной!D14+інші!D14</f>
        <v>148.1</v>
      </c>
      <c r="E14" s="116">
        <f>'насел.'!E14+пільги!E14+субсидії!E14+'держ.бюджет'!E14+'місц.-районн.бюджет'!E14+областной!E14+інші!E14</f>
        <v>176.8</v>
      </c>
      <c r="F14" s="113">
        <f t="shared" si="2"/>
        <v>119.37879810938557</v>
      </c>
      <c r="G14" s="116">
        <f>'насел.'!G14+пільги!G14+субсидії!G14+'держ.бюджет'!G14+'місц.-районн.бюджет'!G14+областной!G14+інші!G14</f>
        <v>174.1</v>
      </c>
      <c r="H14" s="116">
        <f>'насел.'!H14+пільги!H14+субсидії!H14+'держ.бюджет'!H14+'місц.-районн.бюджет'!H14+областной!H14+інші!H14</f>
        <v>41.8</v>
      </c>
      <c r="I14" s="113">
        <f t="shared" si="0"/>
        <v>24.00919012062033</v>
      </c>
      <c r="J14" s="116">
        <f>'насел.'!J14+пільги!J14+субсидії!J14+'держ.бюджет'!J14+'місц.-районн.бюджет'!J14+областной!J14+інші!J14</f>
        <v>322.2</v>
      </c>
      <c r="K14" s="116">
        <f>'насел.'!K14+пільги!K14+субсидії!K14+'держ.бюджет'!K14+'місц.-районн.бюджет'!K14+областной!K14+інші!K14</f>
        <v>218.60000000000002</v>
      </c>
      <c r="L14" s="113">
        <f t="shared" si="1"/>
        <v>67.84605834885166</v>
      </c>
      <c r="M14" s="120">
        <f>'насел.'!M14+пільги!M14+субсидії!M14+'держ.бюджет'!M14+'місц.-районн.бюджет'!M14+областной!M14+інші!M14</f>
        <v>103.60000000000002</v>
      </c>
      <c r="N14" s="120">
        <f>'насел.'!N14+пільги!N14+субсидії!N14+'держ.бюджет'!N14+'місц.-районн.бюджет'!N14+областной!N14+інші!N14</f>
        <v>-257.59999999999997</v>
      </c>
    </row>
    <row r="15" spans="1:14" ht="27" customHeight="1">
      <c r="A15" s="115" t="s">
        <v>21</v>
      </c>
      <c r="B15" s="149" t="s">
        <v>98</v>
      </c>
      <c r="C15" s="116">
        <f>'насел.'!C15+пільги!C15+субсидії!C15+'держ.бюджет'!C15+'місц.-районн.бюджет'!C15+областной!C15+інші!C15</f>
        <v>-96.19999999999996</v>
      </c>
      <c r="D15" s="116">
        <f>'насел.'!D15+пільги!D15+субсидії!D15+'держ.бюджет'!D15+'місц.-районн.бюджет'!D15+областной!D15+інші!D15</f>
        <v>647.9000000000001</v>
      </c>
      <c r="E15" s="116">
        <f>'насел.'!E15+пільги!E15+субсидії!E15+'держ.бюджет'!E15+'місц.-районн.бюджет'!E15+областной!E15+інші!E15</f>
        <v>702.6999999999999</v>
      </c>
      <c r="F15" s="113">
        <f t="shared" si="2"/>
        <v>108.45809538509026</v>
      </c>
      <c r="G15" s="116">
        <f>'насел.'!G15+пільги!G15+субсидії!G15+'держ.бюджет'!G15+'місц.-районн.бюджет'!G15+областной!G15+інші!G15</f>
        <v>670.9000000000001</v>
      </c>
      <c r="H15" s="116">
        <f>'насел.'!H15+пільги!H15+субсидії!H15+'держ.бюджет'!H15+'місц.-районн.бюджет'!H15+областной!H15+інші!H15</f>
        <v>445.19999999999993</v>
      </c>
      <c r="I15" s="113">
        <f t="shared" si="0"/>
        <v>66.35862274556564</v>
      </c>
      <c r="J15" s="116">
        <f>'насел.'!J15+пільги!J15+субсидії!J15+'держ.бюджет'!J15+'місц.-районн.бюджет'!J15+областной!J15+інші!J15</f>
        <v>1318.8000000000002</v>
      </c>
      <c r="K15" s="116">
        <f>'насел.'!K15+пільги!K15+субсидії!K15+'держ.бюджет'!K15+'місц.-районн.бюджет'!K15+областной!K15+інші!K15</f>
        <v>1147.9</v>
      </c>
      <c r="L15" s="113">
        <f t="shared" si="1"/>
        <v>87.04124962086745</v>
      </c>
      <c r="M15" s="120">
        <f>'насел.'!M15+пільги!M15+субсидії!M15+'держ.бюджет'!M15+'місц.-районн.бюджет'!M15+областной!M15+інші!M15</f>
        <v>170.90000000000006</v>
      </c>
      <c r="N15" s="120">
        <f>'насел.'!N15+пільги!N15+субсидії!N15+'держ.бюджет'!N15+'місц.-районн.бюджет'!N15+областной!N15+інші!N15</f>
        <v>74.70000000000007</v>
      </c>
    </row>
    <row r="16" spans="1:14" ht="27" customHeight="1">
      <c r="A16" s="115" t="s">
        <v>22</v>
      </c>
      <c r="B16" s="149" t="s">
        <v>99</v>
      </c>
      <c r="C16" s="116">
        <f>'насел.'!C16+пільги!C16+субсидії!C16+'держ.бюджет'!C16+'місц.-районн.бюджет'!C16+областной!C16+інші!C16</f>
        <v>-39.3</v>
      </c>
      <c r="D16" s="116">
        <f>'насел.'!D16+пільги!D16+субсидії!D16+'держ.бюджет'!D16+'місц.-районн.бюджет'!D16+областной!D16+інші!D16</f>
        <v>38.5</v>
      </c>
      <c r="E16" s="116">
        <f>'насел.'!E16+пільги!E16+субсидії!E16+'держ.бюджет'!E16+'місц.-районн.бюджет'!E16+областной!E16+інші!E16</f>
        <v>79.5</v>
      </c>
      <c r="F16" s="113">
        <f t="shared" si="2"/>
        <v>206.49350649350652</v>
      </c>
      <c r="G16" s="116">
        <f>'насел.'!G16+пільги!G16+субсидії!G16+'держ.бюджет'!G16+'місц.-районн.бюджет'!G16+областной!G16+інші!G16</f>
        <v>38.8</v>
      </c>
      <c r="H16" s="116">
        <f>'насел.'!H16+пільги!H16+субсидії!H16+'держ.бюджет'!H16+'місц.-районн.бюджет'!H16+областной!H16+інші!H16</f>
        <v>15.700000000000001</v>
      </c>
      <c r="I16" s="113">
        <f t="shared" si="0"/>
        <v>40.463917525773205</v>
      </c>
      <c r="J16" s="116">
        <f>'насел.'!J16+пільги!J16+субсидії!J16+'держ.бюджет'!J16+'місц.-районн.бюджет'!J16+областной!J16+інші!J16</f>
        <v>77.29999999999998</v>
      </c>
      <c r="K16" s="116">
        <f>'насел.'!K16+пільги!K16+субсидії!K16+'держ.бюджет'!K16+'місц.-районн.бюджет'!K16+областной!K16+інші!K16</f>
        <v>95.19999999999997</v>
      </c>
      <c r="L16" s="113">
        <f t="shared" si="1"/>
        <v>123.15653298835704</v>
      </c>
      <c r="M16" s="120">
        <f>'насел.'!M16+пільги!M16+субсидії!M16+'держ.бюджет'!M16+'місц.-районн.бюджет'!M16+областной!M16+інші!M16</f>
        <v>-17.90000000000001</v>
      </c>
      <c r="N16" s="120">
        <f>'насел.'!N16+пільги!N16+субсидії!N16+'держ.бюджет'!N16+'місц.-районн.бюджет'!N16+областной!N16+інші!N16</f>
        <v>-57.20000000000001</v>
      </c>
    </row>
    <row r="17" spans="1:16" ht="27" customHeight="1">
      <c r="A17" s="115" t="s">
        <v>23</v>
      </c>
      <c r="B17" s="117" t="s">
        <v>100</v>
      </c>
      <c r="C17" s="116">
        <f>'насел.'!C17+пільги!C17+субсидії!C17+'держ.бюджет'!C17+'місц.-районн.бюджет'!C17+областной!C17+інші!C17</f>
        <v>5515.999999999999</v>
      </c>
      <c r="D17" s="116">
        <f>'насел.'!D17+пільги!D17+субсидії!D17+'держ.бюджет'!D17+'місц.-районн.бюджет'!D17+областной!D17+інші!D17</f>
        <v>1037.7</v>
      </c>
      <c r="E17" s="116">
        <f>'насел.'!E17+пільги!E17+субсидії!E17+'держ.бюджет'!E17+'місц.-районн.бюджет'!E17+областной!E17+інші!E17</f>
        <v>1012.0999999999999</v>
      </c>
      <c r="F17" s="113">
        <f t="shared" si="2"/>
        <v>97.53300568565095</v>
      </c>
      <c r="G17" s="116">
        <f>'насел.'!G17+пільги!G17+субсидії!G17+'держ.бюджет'!G17+'місц.-районн.бюджет'!G17+областной!G17+інші!G17</f>
        <v>957.8</v>
      </c>
      <c r="H17" s="116">
        <f>'насел.'!H17+пільги!H17+субсидії!H17+'держ.бюджет'!H17+'місц.-районн.бюджет'!H17+областной!H17+інші!H17</f>
        <v>838.4</v>
      </c>
      <c r="I17" s="113">
        <f t="shared" si="0"/>
        <v>87.53393192733347</v>
      </c>
      <c r="J17" s="116">
        <f>'насел.'!J17+пільги!J17+субсидії!J17+'держ.бюджет'!J17+'місц.-районн.бюджет'!J17+областной!J17+інші!J17</f>
        <v>1995.4999999999995</v>
      </c>
      <c r="K17" s="116">
        <f>'насел.'!K17+пільги!K17+субсидії!K17+'держ.бюджет'!K17+'місц.-районн.бюджет'!K17+областной!K17+інші!K17</f>
        <v>1850.5</v>
      </c>
      <c r="L17" s="113">
        <f t="shared" si="1"/>
        <v>92.73365071410676</v>
      </c>
      <c r="M17" s="120">
        <f>'насел.'!M17+пільги!M17+субсидії!M17+'держ.бюджет'!M17+'місц.-районн.бюджет'!M17+областной!M17+інші!M17</f>
        <v>144.99999999999994</v>
      </c>
      <c r="N17" s="120">
        <f>'насел.'!N17+пільги!N17+субсидії!N17+'держ.бюджет'!N17+'місц.-районн.бюджет'!N17+областной!N17+інші!N17</f>
        <v>5661</v>
      </c>
      <c r="P17" s="169"/>
    </row>
    <row r="18" spans="1:14" ht="27" customHeight="1">
      <c r="A18" s="115" t="s">
        <v>24</v>
      </c>
      <c r="B18" s="117" t="s">
        <v>101</v>
      </c>
      <c r="C18" s="116">
        <f>'насел.'!C18+пільги!C18+субсидії!C18+'держ.бюджет'!C18+'місц.-районн.бюджет'!C18+областной!C18+інші!C18</f>
        <v>380.00000000000006</v>
      </c>
      <c r="D18" s="116">
        <f>'насел.'!D18+пільги!D18+субсидії!D18+'держ.бюджет'!D18+'місц.-районн.бюджет'!D18+областной!D18+інші!D18</f>
        <v>263</v>
      </c>
      <c r="E18" s="116">
        <f>'насел.'!E18+пільги!E18+субсидії!E18+'держ.бюджет'!E18+'місц.-районн.бюджет'!E18+областной!E18+інші!E18</f>
        <v>466.3999999999999</v>
      </c>
      <c r="F18" s="113">
        <f t="shared" si="2"/>
        <v>177.33840304182507</v>
      </c>
      <c r="G18" s="116">
        <f>'насел.'!G18+пільги!G18+субсидії!G18+'держ.бюджет'!G18+'місц.-районн.бюджет'!G18+областной!G18+інші!G18</f>
        <v>271.2</v>
      </c>
      <c r="H18" s="116">
        <f>'насел.'!H18+пільги!H18+субсидії!H18+'держ.бюджет'!H18+'місц.-районн.бюджет'!H18+областной!H18+інші!H18</f>
        <v>89.3</v>
      </c>
      <c r="I18" s="113">
        <f t="shared" si="0"/>
        <v>32.92772861356932</v>
      </c>
      <c r="J18" s="116">
        <f>'насел.'!J18+пільги!J18+субсидії!J18+'держ.бюджет'!J18+'місц.-районн.бюджет'!J18+областной!J18+інші!J18</f>
        <v>534.1999999999999</v>
      </c>
      <c r="K18" s="116">
        <f>'насел.'!K18+пільги!K18+субсидії!K18+'держ.бюджет'!K18+'місц.-районн.бюджет'!K18+областной!K18+інші!K18</f>
        <v>555.6999999999999</v>
      </c>
      <c r="L18" s="113">
        <f t="shared" si="1"/>
        <v>104.02470984649943</v>
      </c>
      <c r="M18" s="120">
        <f>'насел.'!M18+пільги!M18+субсидії!M18+'держ.бюджет'!M18+'місц.-районн.бюджет'!M18+областной!M18+інші!M18</f>
        <v>-21.500000000000036</v>
      </c>
      <c r="N18" s="120">
        <f>'насел.'!N18+пільги!N18+субсидії!N18+'держ.бюджет'!N18+'місц.-районн.бюджет'!N18+областной!N18+інші!N18</f>
        <v>358.5</v>
      </c>
    </row>
    <row r="19" spans="1:14" ht="27" customHeight="1">
      <c r="A19" s="115" t="s">
        <v>25</v>
      </c>
      <c r="B19" s="149" t="s">
        <v>102</v>
      </c>
      <c r="C19" s="116">
        <f>'насел.'!C19+пільги!C19+субсидії!C19+'держ.бюджет'!C19+'місц.-районн.бюджет'!C19+областной!C19+інші!C19</f>
        <v>917.0999999999999</v>
      </c>
      <c r="D19" s="116">
        <f>'насел.'!D19+пільги!D19+субсидії!D19+'держ.бюджет'!D19+'місц.-районн.бюджет'!D19+областной!D19+інші!D19</f>
        <v>754.5</v>
      </c>
      <c r="E19" s="116">
        <f>'насел.'!E19+пільги!E19+субсидії!E19+'держ.бюджет'!E19+'місц.-районн.бюджет'!E19+областной!E19+інші!E19</f>
        <v>573.9000000000001</v>
      </c>
      <c r="F19" s="113">
        <f t="shared" si="2"/>
        <v>76.06361829025846</v>
      </c>
      <c r="G19" s="116">
        <f>'насел.'!G19+пільги!G19+субсидії!G19+'держ.бюджет'!G19+'місц.-районн.бюджет'!G19+областной!G19+інші!G19</f>
        <v>750.4</v>
      </c>
      <c r="H19" s="116">
        <f>'насел.'!H19+пільги!H19+субсидії!H19+'держ.бюджет'!H19+'місц.-районн.бюджет'!H19+областной!H19+інші!H19</f>
        <v>599.1</v>
      </c>
      <c r="I19" s="113">
        <f t="shared" si="0"/>
        <v>79.83742004264393</v>
      </c>
      <c r="J19" s="116">
        <f>'насел.'!J19+пільги!J19+субсидії!J19+'держ.бюджет'!J19+'місц.-районн.бюджет'!J19+областной!J19+інші!J19</f>
        <v>1504.9</v>
      </c>
      <c r="K19" s="116">
        <f>'насел.'!K19+пільги!K19+субсидії!K19+'держ.бюджет'!K19+'місц.-районн.бюджет'!K19+областной!K19+інші!K19</f>
        <v>1173</v>
      </c>
      <c r="L19" s="113">
        <f t="shared" si="1"/>
        <v>77.9453784304605</v>
      </c>
      <c r="M19" s="120">
        <f>'насел.'!M19+пільги!M19+субсидії!M19+'держ.бюджет'!M19+'місц.-районн.бюджет'!M19+областной!M19+інші!M19</f>
        <v>331.90000000000003</v>
      </c>
      <c r="N19" s="120">
        <f>'насел.'!N19+пільги!N19+субсидії!N19+'держ.бюджет'!N19+'місц.-районн.бюджет'!N19+областной!N19+інші!N19</f>
        <v>1249.0000000000002</v>
      </c>
    </row>
    <row r="20" spans="1:14" ht="27" customHeight="1">
      <c r="A20" s="115" t="s">
        <v>26</v>
      </c>
      <c r="B20" s="117" t="s">
        <v>103</v>
      </c>
      <c r="C20" s="116">
        <f>'насел.'!C20+пільги!C20+субсидії!C20+'держ.бюджет'!C20+'місц.-районн.бюджет'!C20+областной!C20+інші!C20</f>
        <v>183.4</v>
      </c>
      <c r="D20" s="116">
        <f>'насел.'!D20+пільги!D20+субсидії!D20+'держ.бюджет'!D20+'місц.-районн.бюджет'!D20+областной!D20+інші!D20</f>
        <v>161.89999999999998</v>
      </c>
      <c r="E20" s="116">
        <f>'насел.'!E20+пільги!E20+субсидії!E20+'держ.бюджет'!E20+'місц.-районн.бюджет'!E20+областной!E20+інші!E20</f>
        <v>279.1</v>
      </c>
      <c r="F20" s="113">
        <f t="shared" si="2"/>
        <v>172.39036442248306</v>
      </c>
      <c r="G20" s="116">
        <f>'насел.'!G20+пільги!G20+субсидії!G20+'держ.бюджет'!G20+'місц.-районн.бюджет'!G20+областной!G20+інші!G20</f>
        <v>159.39999999999998</v>
      </c>
      <c r="H20" s="116">
        <f>'насел.'!H20+пільги!H20+субсидії!H20+'держ.бюджет'!H20+'місц.-районн.бюджет'!H20+областной!H20+інші!H20</f>
        <v>74.89999999999999</v>
      </c>
      <c r="I20" s="113">
        <f t="shared" si="0"/>
        <v>46.98870765370138</v>
      </c>
      <c r="J20" s="116">
        <f>'насел.'!J20+пільги!J20+субсидії!J20+'держ.бюджет'!J20+'місц.-районн.бюджет'!J20+областной!J20+інші!J20</f>
        <v>321.3</v>
      </c>
      <c r="K20" s="116">
        <f>'насел.'!K20+пільги!K20+субсидії!K20+'держ.бюджет'!K20+'місц.-районн.бюджет'!K20+областной!K20+інші!K20</f>
        <v>353.99999999999994</v>
      </c>
      <c r="L20" s="113">
        <f t="shared" si="1"/>
        <v>110.17740429505135</v>
      </c>
      <c r="M20" s="120">
        <f>'насел.'!M20+пільги!M20+субсидії!M20+'держ.бюджет'!M20+'місц.-районн.бюджет'!M20+областной!M20+інші!M20</f>
        <v>-32.69999999999999</v>
      </c>
      <c r="N20" s="120">
        <f>'насел.'!N20+пільги!N20+субсидії!N20+'держ.бюджет'!N20+'місц.-районн.бюджет'!N20+областной!N20+інші!N20</f>
        <v>150.7</v>
      </c>
    </row>
    <row r="21" spans="1:14" s="171" customFormat="1" ht="27" customHeight="1">
      <c r="A21" s="115" t="s">
        <v>27</v>
      </c>
      <c r="B21" s="170" t="s">
        <v>104</v>
      </c>
      <c r="C21" s="116">
        <f>'насел.'!C21+пільги!C21+субсидії!C21+'держ.бюджет'!C21+'місц.-районн.бюджет'!C21+областной!C21+інші!C21</f>
        <v>63.800000000000004</v>
      </c>
      <c r="D21" s="116">
        <f>'насел.'!D21+пільги!D21+субсидії!D21+'держ.бюджет'!D21+'місц.-районн.бюджет'!D21+областной!D21+інші!D21</f>
        <v>38.699999999999996</v>
      </c>
      <c r="E21" s="116">
        <f>'насел.'!E21+пільги!E21+субсидії!E21+'держ.бюджет'!E21+'місц.-районн.бюджет'!E21+областной!E21+інші!E21</f>
        <v>64.8</v>
      </c>
      <c r="F21" s="113">
        <f t="shared" si="2"/>
        <v>167.4418604651163</v>
      </c>
      <c r="G21" s="116">
        <f>'насел.'!G21+пільги!G21+субсидії!G21+'держ.бюджет'!G21+'місц.-районн.бюджет'!G21+областной!G21+інші!G21</f>
        <v>35.2</v>
      </c>
      <c r="H21" s="116">
        <f>'насел.'!H21+пільги!H21+субсидії!H21+'держ.бюджет'!H21+'місц.-районн.бюджет'!H21+областной!H21+інші!H21</f>
        <v>7.3</v>
      </c>
      <c r="I21" s="113">
        <f t="shared" si="0"/>
        <v>20.738636363636363</v>
      </c>
      <c r="J21" s="116">
        <f>'насел.'!J21+пільги!J21+субсидії!J21+'держ.бюджет'!J21+'місц.-районн.бюджет'!J21+областной!J21+інші!J21</f>
        <v>73.9</v>
      </c>
      <c r="K21" s="116">
        <f>'насел.'!K21+пільги!K21+субсидії!K21+'держ.бюджет'!K21+'місц.-районн.бюджет'!K21+областной!K21+інші!K21</f>
        <v>72.10000000000001</v>
      </c>
      <c r="L21" s="113">
        <f t="shared" si="1"/>
        <v>97.56427604871448</v>
      </c>
      <c r="M21" s="120">
        <f>'насел.'!M21+пільги!M21+субсидії!M21+'держ.бюджет'!M21+'місц.-районн.бюджет'!M21+областной!M21+інші!M21</f>
        <v>1.8000000000000016</v>
      </c>
      <c r="N21" s="120">
        <f>'насел.'!N21+пільги!N21+субсидії!N21+'держ.бюджет'!N21+'місц.-районн.бюджет'!N21+областной!N21+інші!N21</f>
        <v>65.60000000000001</v>
      </c>
    </row>
    <row r="22" spans="1:14" ht="27" customHeight="1">
      <c r="A22" s="115" t="s">
        <v>28</v>
      </c>
      <c r="B22" s="117" t="s">
        <v>105</v>
      </c>
      <c r="C22" s="116">
        <f>'насел.'!C22+пільги!C22+субсидії!C22+'держ.бюджет'!C22+'місц.-районн.бюджет'!C22+областной!C22+інші!C22</f>
        <v>656.5</v>
      </c>
      <c r="D22" s="116">
        <f>'насел.'!D22+пільги!D22+субсидії!D22+'держ.бюджет'!D22+'місц.-районн.бюджет'!D22+областной!D22+інші!D22</f>
        <v>214.90000000000003</v>
      </c>
      <c r="E22" s="116">
        <f>'насел.'!E22+пільги!E22+субсидії!E22+'держ.бюджет'!E22+'місц.-районн.бюджет'!E22+областной!E22+інші!E22</f>
        <v>404.6</v>
      </c>
      <c r="F22" s="113">
        <f t="shared" si="2"/>
        <v>188.2736156351791</v>
      </c>
      <c r="G22" s="116">
        <f>'насел.'!G22+пільги!G22+субсидії!G22+'держ.бюджет'!G22+'місц.-районн.бюджет'!G22+областной!G22+інші!G22</f>
        <v>308</v>
      </c>
      <c r="H22" s="116">
        <f>'насел.'!H22+пільги!H22+субсидії!H22+'держ.бюджет'!H22+'місц.-районн.бюджет'!H22+областной!H22+інші!H22</f>
        <v>136.20000000000002</v>
      </c>
      <c r="I22" s="113">
        <f t="shared" si="0"/>
        <v>44.22077922077923</v>
      </c>
      <c r="J22" s="116">
        <f>'насел.'!J22+пільги!J22+субсидії!J22+'держ.бюджет'!J22+'місц.-районн.бюджет'!J22+областной!J22+інші!J22</f>
        <v>522.9000000000001</v>
      </c>
      <c r="K22" s="116">
        <f>'насел.'!K22+пільги!K22+субсидії!K22+'держ.бюджет'!K22+'місц.-районн.бюджет'!K22+областной!K22+інші!K22</f>
        <v>540.8</v>
      </c>
      <c r="L22" s="113">
        <f t="shared" si="1"/>
        <v>103.42321667622869</v>
      </c>
      <c r="M22" s="120">
        <f>'насел.'!M22+пільги!M22+субсидії!M22+'держ.бюджет'!M22+'місц.-районн.бюджет'!M22+областной!M22+інші!M22</f>
        <v>-17.89999999999994</v>
      </c>
      <c r="N22" s="120">
        <f>'насел.'!N22+пільги!N22+субсидії!N22+'держ.бюджет'!N22+'місц.-районн.бюджет'!N22+областной!N22+інші!N22</f>
        <v>638.6</v>
      </c>
    </row>
    <row r="23" spans="1:14" ht="25.5" customHeight="1">
      <c r="A23" s="115" t="s">
        <v>29</v>
      </c>
      <c r="B23" s="117" t="s">
        <v>126</v>
      </c>
      <c r="C23" s="116">
        <f>'насел.'!C23+пільги!C23+субсидії!C23+'держ.бюджет'!C23+'місц.-районн.бюджет'!C23+областной!C23+інші!C23</f>
        <v>-6.700000000000005</v>
      </c>
      <c r="D23" s="116">
        <f>'насел.'!D23+пільги!D23+субсидії!D23+'держ.бюджет'!D23+'місц.-районн.бюджет'!D23+областной!D23+інші!D23</f>
        <v>36.2</v>
      </c>
      <c r="E23" s="116">
        <f>'насел.'!E23+пільги!E23+субсидії!E23+'держ.бюджет'!E23+'місц.-районн.бюджет'!E23+областной!E23+інші!E23</f>
        <v>78.9</v>
      </c>
      <c r="F23" s="113">
        <f t="shared" si="2"/>
        <v>217.95580110497238</v>
      </c>
      <c r="G23" s="116">
        <f>'насел.'!G23+пільги!G23+субсидії!G23+'держ.бюджет'!G23+'місц.-районн.бюджет'!G23+областной!G23+інші!G23</f>
        <v>35.8</v>
      </c>
      <c r="H23" s="116">
        <f>'насел.'!H23+пільги!H23+субсидії!H23+'держ.бюджет'!H23+'місц.-районн.бюджет'!H23+областной!H23+інші!H23</f>
        <v>13.9</v>
      </c>
      <c r="I23" s="113">
        <f t="shared" si="0"/>
        <v>38.82681564245811</v>
      </c>
      <c r="J23" s="116">
        <f>'насел.'!J23+пільги!J23+субсидії!J23+'держ.бюджет'!J23+'місц.-районн.бюджет'!J23+областной!J23+інші!J23</f>
        <v>72</v>
      </c>
      <c r="K23" s="116">
        <f>'насел.'!K23+пільги!K23+субсидії!K23+'держ.бюджет'!K23+'місц.-районн.бюджет'!K23+областной!K23+інші!K23</f>
        <v>92.8</v>
      </c>
      <c r="L23" s="113">
        <f t="shared" si="1"/>
        <v>128.88888888888889</v>
      </c>
      <c r="M23" s="120">
        <f>'насел.'!M23+пільги!M23+субсидії!M23+'держ.бюджет'!M23+'місц.-районн.бюджет'!M23+областной!M23+інші!M23</f>
        <v>-20.799999999999997</v>
      </c>
      <c r="N23" s="120">
        <f>'насел.'!N23+пільги!N23+субсидії!N23+'держ.бюджет'!N23+'місц.-районн.бюджет'!N23+областной!N23+інші!N23</f>
        <v>-27.500000000000018</v>
      </c>
    </row>
    <row r="24" spans="1:14" ht="27" customHeight="1">
      <c r="A24" s="115" t="s">
        <v>30</v>
      </c>
      <c r="B24" s="117" t="s">
        <v>106</v>
      </c>
      <c r="C24" s="116">
        <f>'насел.'!C24+пільги!C24+субсидії!C24+'держ.бюджет'!C24+'місц.-районн.бюджет'!C24+областной!C24+інші!C24</f>
        <v>717</v>
      </c>
      <c r="D24" s="116">
        <f>'насел.'!D24+пільги!D24+субсидії!D24+'держ.бюджет'!D24+'місц.-районн.бюджет'!D24+областной!D24+інші!D24</f>
        <v>1579.7</v>
      </c>
      <c r="E24" s="116">
        <f>'насел.'!E24+пільги!E24+субсидії!E24+'держ.бюджет'!E24+'місц.-районн.бюджет'!E24+областной!E24+інші!E24</f>
        <v>2810.2000000000003</v>
      </c>
      <c r="F24" s="113">
        <f t="shared" si="2"/>
        <v>177.89453693739318</v>
      </c>
      <c r="G24" s="116">
        <f>'насел.'!G24+пільги!G24+субсидії!G24+'держ.бюджет'!G24+'місц.-районн.бюджет'!G24+областной!G24+інші!G24</f>
        <v>1583.5</v>
      </c>
      <c r="H24" s="116">
        <f>'насел.'!H24+пільги!H24+субсидії!H24+'держ.бюджет'!H24+'місц.-районн.бюджет'!H24+областной!H24+інші!H24</f>
        <v>762.6</v>
      </c>
      <c r="I24" s="113">
        <f t="shared" si="0"/>
        <v>48.15914114303757</v>
      </c>
      <c r="J24" s="116">
        <f>'насел.'!J24+пільги!J24+субсидії!J24+'держ.бюджет'!J24+'місц.-районн.бюджет'!J24+областной!J24+інші!J24</f>
        <v>3163.2</v>
      </c>
      <c r="K24" s="116">
        <f>'насел.'!K24+пільги!K24+субсидії!K24+'держ.бюджет'!K24+'місц.-районн.бюджет'!K24+областной!K24+інші!K24</f>
        <v>3572.7999999999997</v>
      </c>
      <c r="L24" s="113">
        <f t="shared" si="1"/>
        <v>112.94891249367728</v>
      </c>
      <c r="M24" s="120">
        <f>'насел.'!M24+пільги!M24+субсидії!M24+'держ.бюджет'!M24+'місц.-районн.бюджет'!M24+областной!M24+інші!M24</f>
        <v>-409.59999999999997</v>
      </c>
      <c r="N24" s="120">
        <f>'насел.'!N24+пільги!N24+субсидії!N24+'держ.бюджет'!N24+'місц.-районн.бюджет'!N24+областной!N24+інші!N24</f>
        <v>307.40000000000026</v>
      </c>
    </row>
    <row r="25" spans="1:14" ht="27" customHeight="1">
      <c r="A25" s="115" t="s">
        <v>31</v>
      </c>
      <c r="B25" s="149" t="s">
        <v>107</v>
      </c>
      <c r="C25" s="116">
        <f>'насел.'!C25+пільги!C25+субсидії!C25+'держ.бюджет'!C25+'місц.-районн.бюджет'!C25+областной!C25+інші!C25</f>
        <v>-203.29999999999998</v>
      </c>
      <c r="D25" s="116">
        <f>'насел.'!D25+пільги!D25+субсидії!D25+'держ.бюджет'!D25+'місц.-районн.бюджет'!D25+областной!D25+інші!D25</f>
        <v>284.6</v>
      </c>
      <c r="E25" s="116">
        <f>'насел.'!E25+пільги!E25+субсидії!E25+'держ.бюджет'!E25+'місц.-районн.бюджет'!E25+областной!E25+інші!E25</f>
        <v>493.09999999999997</v>
      </c>
      <c r="F25" s="113">
        <f t="shared" si="2"/>
        <v>173.26071679550245</v>
      </c>
      <c r="G25" s="116">
        <f>'насел.'!G25+пільги!G25+субсидії!G25+'держ.бюджет'!G25+'місц.-районн.бюджет'!G25+областной!G25+інші!G25</f>
        <v>327.4</v>
      </c>
      <c r="H25" s="116">
        <f>'насел.'!H25+пільги!H25+субсидії!H25+'держ.бюджет'!H25+'місц.-районн.бюджет'!H25+областной!H25+інші!H25</f>
        <v>150.7</v>
      </c>
      <c r="I25" s="113">
        <f t="shared" si="0"/>
        <v>46.02932193036042</v>
      </c>
      <c r="J25" s="116">
        <f>'насел.'!J25+пільги!J25+субсидії!J25+'держ.бюджет'!J25+'місц.-районн.бюджет'!J25+областной!J25+інші!J25</f>
        <v>612</v>
      </c>
      <c r="K25" s="116">
        <f>'насел.'!K25+пільги!K25+субсидії!K25+'держ.бюджет'!K25+'місц.-районн.бюджет'!K25+областной!K25+інші!K25</f>
        <v>643.8000000000001</v>
      </c>
      <c r="L25" s="113">
        <f t="shared" si="1"/>
        <v>105.19607843137256</v>
      </c>
      <c r="M25" s="120">
        <f>'насел.'!M25+пільги!M25+субсидії!M25+'держ.бюджет'!M25+'місц.-районн.бюджет'!M25+областной!M25+інші!M25</f>
        <v>-31.79999999999994</v>
      </c>
      <c r="N25" s="120">
        <f>'насел.'!N25+пільги!N25+субсидії!N25+'держ.бюджет'!N25+'місц.-районн.бюджет'!N25+областной!N25+інші!N25</f>
        <v>-235.09999999999988</v>
      </c>
    </row>
    <row r="26" spans="1:14" ht="27" customHeight="1">
      <c r="A26" s="115" t="s">
        <v>32</v>
      </c>
      <c r="B26" s="117" t="s">
        <v>108</v>
      </c>
      <c r="C26" s="116">
        <f>'насел.'!C26+пільги!C26+субсидії!C26+'держ.бюджет'!C26+'місц.-районн.бюджет'!C26+областной!C26+інші!C26</f>
        <v>97.60000000000001</v>
      </c>
      <c r="D26" s="116">
        <f>'насел.'!D26+пільги!D26+субсидії!D26+'держ.бюджет'!D26+'місц.-районн.бюджет'!D26+областной!D26+інші!D26</f>
        <v>30.4</v>
      </c>
      <c r="E26" s="116">
        <f>'насел.'!E26+пільги!E26+субсидії!E26+'держ.бюджет'!E26+'місц.-районн.бюджет'!E26+областной!E26+інші!E26</f>
        <v>9.4</v>
      </c>
      <c r="F26" s="113">
        <f t="shared" si="2"/>
        <v>30.92105263157895</v>
      </c>
      <c r="G26" s="116">
        <f>'насел.'!G26+пільги!G26+субсидії!G26+'держ.бюджет'!G26+'місц.-районн.бюджет'!G26+областной!G26+інші!G26</f>
        <v>33.800000000000004</v>
      </c>
      <c r="H26" s="116">
        <f>'насел.'!H26+пільги!H26+субсидії!H26+'держ.бюджет'!H26+'місц.-районн.бюджет'!H26+областной!H26+інші!H26</f>
        <v>37.300000000000004</v>
      </c>
      <c r="I26" s="113">
        <f t="shared" si="0"/>
        <v>110.35502958579882</v>
      </c>
      <c r="J26" s="116">
        <f>'насел.'!J26+пільги!J26+субсидії!J26+'держ.бюджет'!J26+'місц.-районн.бюджет'!J26+областной!J26+інші!J26</f>
        <v>64.19999999999999</v>
      </c>
      <c r="K26" s="116">
        <f>'насел.'!K26+пільги!K26+субсидії!K26+'держ.бюджет'!K26+'місц.-районн.бюджет'!K26+областной!K26+інші!K26</f>
        <v>46.7</v>
      </c>
      <c r="L26" s="113">
        <f t="shared" si="1"/>
        <v>72.74143302180687</v>
      </c>
      <c r="M26" s="120">
        <f>'насел.'!M26+пільги!M26+субсидії!M26+'держ.бюджет'!M26+'місц.-районн.бюджет'!M26+областной!M26+інші!M26</f>
        <v>17.5</v>
      </c>
      <c r="N26" s="120">
        <f>'насел.'!N26+пільги!N26+субсидії!N26+'держ.бюджет'!N26+'місц.-районн.бюджет'!N26+областной!N26+інші!N26</f>
        <v>115.1</v>
      </c>
    </row>
    <row r="27" spans="1:14" ht="27" customHeight="1">
      <c r="A27" s="115" t="s">
        <v>33</v>
      </c>
      <c r="B27" s="117" t="s">
        <v>109</v>
      </c>
      <c r="C27" s="116">
        <f>'насел.'!C27+пільги!C27+субсидії!C27+'держ.бюджет'!C27+'місц.-районн.бюджет'!C27+областной!C27+інші!C27</f>
        <v>-471.79999999999995</v>
      </c>
      <c r="D27" s="116">
        <f>'насел.'!D27+пільги!D27+субсидії!D27+'держ.бюджет'!D27+'місц.-районн.бюджет'!D27+областной!D27+інші!D27</f>
        <v>409.29999999999995</v>
      </c>
      <c r="E27" s="116">
        <f>'насел.'!E27+пільги!E27+субсидії!E27+'держ.бюджет'!E27+'місц.-районн.бюджет'!E27+областной!E27+інші!E27</f>
        <v>1297.8</v>
      </c>
      <c r="F27" s="155">
        <f t="shared" si="2"/>
        <v>317.07793794282924</v>
      </c>
      <c r="G27" s="116">
        <f>'насел.'!G27+пільги!G27+субсидії!G27+'держ.бюджет'!G27+'місц.-районн.бюджет'!G27+областной!G27+інші!G27</f>
        <v>553.5000000000001</v>
      </c>
      <c r="H27" s="116">
        <f>'насел.'!H27+пільги!H27+субсидії!H27+'держ.бюджет'!H27+'місц.-районн.бюджет'!H27+областной!H27+інші!H27</f>
        <v>99.2</v>
      </c>
      <c r="I27" s="113">
        <f t="shared" si="0"/>
        <v>17.922312556458895</v>
      </c>
      <c r="J27" s="116">
        <f>'насел.'!J27+пільги!J27+субсидії!J27+'держ.бюджет'!J27+'місц.-районн.бюджет'!J27+областной!J27+інші!J27</f>
        <v>962.7999999999998</v>
      </c>
      <c r="K27" s="116">
        <f>'насел.'!K27+пільги!K27+субсидії!K27+'держ.бюджет'!K27+'місц.-районн.бюджет'!K27+областной!K27+інші!K27</f>
        <v>1397</v>
      </c>
      <c r="L27" s="113">
        <f t="shared" si="1"/>
        <v>145.09763190693812</v>
      </c>
      <c r="M27" s="120">
        <f>'насел.'!M27+пільги!M27+субсидії!M27+'держ.бюджет'!M27+'місц.-районн.бюджет'!M27+областной!M27+інші!M27</f>
        <v>-434.20000000000005</v>
      </c>
      <c r="N27" s="120">
        <f>'насел.'!N27+пільги!N27+субсидії!N27+'держ.бюджет'!N27+'місц.-районн.бюджет'!N27+областной!N27+інші!N27</f>
        <v>-905.9999999999998</v>
      </c>
    </row>
    <row r="28" spans="1:14" ht="27" customHeight="1">
      <c r="A28" s="115" t="s">
        <v>34</v>
      </c>
      <c r="B28" s="149" t="s">
        <v>110</v>
      </c>
      <c r="C28" s="116">
        <f>'насел.'!C28+пільги!C28+субсидії!C28+'держ.бюджет'!C28+'місц.-районн.бюджет'!C28+областной!C28+інші!C28</f>
        <v>209.59999999999997</v>
      </c>
      <c r="D28" s="116">
        <f>'насел.'!D28+пільги!D28+субсидії!D28+'держ.бюджет'!D28+'місц.-районн.бюджет'!D28+областной!D28+інші!D28</f>
        <v>238.60000000000002</v>
      </c>
      <c r="E28" s="116">
        <f>'насел.'!E28+пільги!E28+субсидії!E28+'держ.бюджет'!E28+'місц.-районн.бюджет'!E28+областной!E28+інші!E28</f>
        <v>226.5</v>
      </c>
      <c r="F28" s="113">
        <f t="shared" si="2"/>
        <v>94.9287510477787</v>
      </c>
      <c r="G28" s="116">
        <f>'насел.'!G28+пільги!G28+субсидії!G28+'держ.бюджет'!G28+'місц.-районн.бюджет'!G28+областной!G28+інші!G28</f>
        <v>273.29999999999995</v>
      </c>
      <c r="H28" s="116">
        <f>'насел.'!H28+пільги!H28+субсидії!H28+'держ.бюджет'!H28+'місц.-районн.бюджет'!H28+областной!H28+інші!H28</f>
        <v>211.29999999999998</v>
      </c>
      <c r="I28" s="113">
        <f aca="true" t="shared" si="3" ref="I28:I39">H28/G28*100</f>
        <v>77.31430662275888</v>
      </c>
      <c r="J28" s="116">
        <f>'насел.'!J28+пільги!J28+субсидії!J28+'держ.бюджет'!J28+'місц.-районн.бюджет'!J28+областной!J28+інші!J28</f>
        <v>511.9</v>
      </c>
      <c r="K28" s="116">
        <f>'насел.'!K28+пільги!K28+субсидії!K28+'держ.бюджет'!K28+'місц.-районн.бюджет'!K28+областной!K28+інші!K28</f>
        <v>437.79999999999995</v>
      </c>
      <c r="L28" s="113">
        <f aca="true" t="shared" si="4" ref="L28:L39">K28/J28*100</f>
        <v>85.5245165071303</v>
      </c>
      <c r="M28" s="120">
        <f>'насел.'!M28+пільги!M28+субсидії!M28+'держ.бюджет'!M28+'місц.-районн.бюджет'!M28+областной!M28+інші!M28</f>
        <v>74.10000000000002</v>
      </c>
      <c r="N28" s="120">
        <f>'насел.'!N28+пільги!N28+субсидії!N28+'держ.бюджет'!N28+'місц.-районн.бюджет'!N28+областной!N28+інші!N28</f>
        <v>283.69999999999993</v>
      </c>
    </row>
    <row r="29" spans="1:14" ht="27" customHeight="1">
      <c r="A29" s="115" t="s">
        <v>35</v>
      </c>
      <c r="B29" s="172" t="s">
        <v>111</v>
      </c>
      <c r="C29" s="200" t="s">
        <v>129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2"/>
    </row>
    <row r="30" spans="1:14" ht="27" customHeight="1">
      <c r="A30" s="115" t="s">
        <v>36</v>
      </c>
      <c r="B30" s="117" t="s">
        <v>112</v>
      </c>
      <c r="C30" s="116">
        <f>'насел.'!C30+пільги!C30+субсидії!C30+'держ.бюджет'!C30+'місц.-районн.бюджет'!C30+областной!C30+інші!C30</f>
        <v>-54.9</v>
      </c>
      <c r="D30" s="116">
        <f>'насел.'!D30+пільги!D30+субсидії!D30+'держ.бюджет'!D30+'місц.-районн.бюджет'!D30+областной!D30+інші!D30</f>
        <v>129.79999999999998</v>
      </c>
      <c r="E30" s="116">
        <f>'насел.'!E30+пільги!E30+субсидії!E30+'держ.бюджет'!E30+'місц.-районн.бюджет'!E30+областной!E30+інші!E30</f>
        <v>247.49999999999997</v>
      </c>
      <c r="F30" s="113">
        <f aca="true" t="shared" si="5" ref="F30:F43">E30/D30*100</f>
        <v>190.67796610169492</v>
      </c>
      <c r="G30" s="116">
        <f>'насел.'!G30+пільги!G30+субсидії!G30+'держ.бюджет'!G30+'місц.-районн.бюджет'!G30+областной!G30+інші!G30</f>
        <v>156.6</v>
      </c>
      <c r="H30" s="116">
        <f>'насел.'!H30+пільги!H30+субсидії!H30+'держ.бюджет'!H30+'місц.-районн.бюджет'!H30+областной!H30+інші!H30</f>
        <v>75.4</v>
      </c>
      <c r="I30" s="113">
        <f t="shared" si="3"/>
        <v>48.14814814814815</v>
      </c>
      <c r="J30" s="116">
        <f>'насел.'!J30+пільги!J30+субсидії!J30+'держ.бюджет'!J30+'місц.-районн.бюджет'!J30+областной!J30+інші!J30</f>
        <v>286.4</v>
      </c>
      <c r="K30" s="116">
        <f>'насел.'!K30+пільги!K30+субсидії!K30+'держ.бюджет'!K30+'місц.-районн.бюджет'!K30+областной!K30+інші!K30</f>
        <v>322.9</v>
      </c>
      <c r="L30" s="113">
        <f t="shared" si="4"/>
        <v>112.74441340782121</v>
      </c>
      <c r="M30" s="120">
        <f>'насел.'!M30+пільги!M30+субсидії!M30+'держ.бюджет'!M30+'місц.-районн.бюджет'!M30+областной!M30+інші!M30</f>
        <v>-36.5</v>
      </c>
      <c r="N30" s="120">
        <f>'насел.'!N30+пільги!N30+субсидії!N30+'держ.бюджет'!N30+'місц.-районн.бюджет'!N30+областной!N30+інші!N30</f>
        <v>-91.39999999999998</v>
      </c>
    </row>
    <row r="31" spans="1:14" ht="28.5" customHeight="1">
      <c r="A31" s="115" t="s">
        <v>37</v>
      </c>
      <c r="B31" s="117" t="s">
        <v>113</v>
      </c>
      <c r="C31" s="116">
        <f>'насел.'!C31+пільги!C31+субсидії!C31+'держ.бюджет'!C31+'місц.-районн.бюджет'!C31+областной!C31+інші!C31</f>
        <v>-733.4</v>
      </c>
      <c r="D31" s="116">
        <f>'насел.'!D31+пільги!D31+субсидії!D31+'держ.бюджет'!D31+'місц.-районн.бюджет'!D31+областной!D31+інші!D31</f>
        <v>145.1</v>
      </c>
      <c r="E31" s="116">
        <f>'насел.'!E31+пільги!E31+субсидії!E31+'держ.бюджет'!E31+'місц.-районн.бюджет'!E31+областной!E31+інші!E31</f>
        <v>370.5</v>
      </c>
      <c r="F31" s="113">
        <f t="shared" si="5"/>
        <v>255.34114403859408</v>
      </c>
      <c r="G31" s="116">
        <f>'насел.'!G31+пільги!G31+субсидії!G31+'держ.бюджет'!G31+'місц.-районн.бюджет'!G31+областной!G31+інші!G31</f>
        <v>157.6</v>
      </c>
      <c r="H31" s="116">
        <f>'насел.'!H31+пільги!H31+субсидії!H31+'держ.бюджет'!H31+'місц.-районн.бюджет'!H31+областной!H31+інші!H31</f>
        <v>59.800000000000004</v>
      </c>
      <c r="I31" s="113">
        <f t="shared" si="3"/>
        <v>37.944162436548226</v>
      </c>
      <c r="J31" s="116">
        <f>'насел.'!J31+пільги!J31+субсидії!J31+'держ.бюджет'!J31+'місц.-районн.бюджет'!J31+областной!J31+інші!J31</f>
        <v>302.7</v>
      </c>
      <c r="K31" s="116">
        <f>'насел.'!K31+пільги!K31+субсидії!K31+'держ.бюджет'!K31+'місц.-районн.бюджет'!K31+областной!K31+інші!K31</f>
        <v>430.3</v>
      </c>
      <c r="L31" s="113">
        <f t="shared" si="4"/>
        <v>142.15394780310538</v>
      </c>
      <c r="M31" s="120">
        <f>'насел.'!M31+пільги!M31+субсидії!M31+'держ.бюджет'!M31+'місц.-районн.бюджет'!M31+областной!M31+інші!M31</f>
        <v>-127.60000000000002</v>
      </c>
      <c r="N31" s="120">
        <f>'насел.'!N31+пільги!N31+субсидії!N31+'держ.бюджет'!N31+'місц.-районн.бюджет'!N31+областной!N31+інші!N31</f>
        <v>-861.0000000000001</v>
      </c>
    </row>
    <row r="32" spans="1:14" ht="27" customHeight="1">
      <c r="A32" s="115" t="s">
        <v>38</v>
      </c>
      <c r="B32" s="117" t="s">
        <v>114</v>
      </c>
      <c r="C32" s="116">
        <f>'насел.'!C32+пільги!C32+субсидії!C32+'держ.бюджет'!C32+'місц.-районн.бюджет'!C32+областной!C32+інші!C32</f>
        <v>2769</v>
      </c>
      <c r="D32" s="116">
        <f>'насел.'!D32+пільги!D32+субсидії!D32+'держ.бюджет'!D32+'місц.-районн.бюджет'!D32+областной!D32+інші!D32</f>
        <v>1738.6000000000001</v>
      </c>
      <c r="E32" s="116">
        <f>'насел.'!E32+пільги!E32+субсидії!E32+'держ.бюджет'!E32+'місц.-районн.бюджет'!E32+областной!E32+інші!E32</f>
        <v>1572.8999999999999</v>
      </c>
      <c r="F32" s="173">
        <f t="shared" si="5"/>
        <v>90.46934314966063</v>
      </c>
      <c r="G32" s="116">
        <f>'насел.'!G32+пільги!G32+субсидії!G32+'держ.бюджет'!G32+'місц.-районн.бюджет'!G32+областной!G32+інші!G32</f>
        <v>1970.9999999999995</v>
      </c>
      <c r="H32" s="116">
        <f>'насел.'!H32+пільги!H32+субсидії!H32+'держ.бюджет'!H32+'місц.-районн.бюджет'!H32+областной!H32+інші!H32</f>
        <v>935.4</v>
      </c>
      <c r="I32" s="113">
        <f t="shared" si="3"/>
        <v>47.458143074581436</v>
      </c>
      <c r="J32" s="116">
        <f>'насел.'!J32+пільги!J32+субсидії!J32+'держ.бюджет'!J32+'місц.-районн.бюджет'!J32+областной!J32+інші!J32</f>
        <v>3709.6000000000004</v>
      </c>
      <c r="K32" s="116">
        <f>'насел.'!K32+пільги!K32+субсидії!K32+'держ.бюджет'!K32+'місц.-районн.бюджет'!K32+областной!K32+інші!K32</f>
        <v>2508.2999999999997</v>
      </c>
      <c r="L32" s="113">
        <f t="shared" si="4"/>
        <v>67.61645460426999</v>
      </c>
      <c r="M32" s="120">
        <f>'насел.'!M32+пільги!M32+субсидії!M32+'держ.бюджет'!M32+'місц.-районн.бюджет'!M32+областной!M32+інші!M32</f>
        <v>1201.3</v>
      </c>
      <c r="N32" s="120">
        <f>'насел.'!N32+пільги!N32+субсидії!N32+'держ.бюджет'!N32+'місц.-районн.бюджет'!N32+областной!N32+інші!N32</f>
        <v>3970.2999999999997</v>
      </c>
    </row>
    <row r="33" spans="1:14" ht="27" customHeight="1">
      <c r="A33" s="115" t="s">
        <v>39</v>
      </c>
      <c r="B33" s="117" t="s">
        <v>115</v>
      </c>
      <c r="C33" s="116">
        <f>'насел.'!C33+пільги!C33+субсидії!C33+'держ.бюджет'!C33+'місц.-районн.бюджет'!C33+областной!C33+інші!C33</f>
        <v>1712.3</v>
      </c>
      <c r="D33" s="116">
        <f>'насел.'!D33+пільги!D33+субсидії!D33+'держ.бюджет'!D33+'місц.-районн.бюджет'!D33+областной!D33+інші!D33</f>
        <v>734.0999999999999</v>
      </c>
      <c r="E33" s="116">
        <f>'насел.'!E33+пільги!E33+субсидії!E33+'держ.бюджет'!E33+'місц.-районн.бюджет'!E33+областной!E33+інші!E33</f>
        <v>947.5999999999999</v>
      </c>
      <c r="F33" s="113">
        <f t="shared" si="5"/>
        <v>129.0832311674159</v>
      </c>
      <c r="G33" s="116">
        <f>'насел.'!G33+пільги!G33+субсидії!G33+'держ.бюджет'!G33+'місц.-районн.бюджет'!G33+областной!G33+інші!G33</f>
        <v>869.3000000000001</v>
      </c>
      <c r="H33" s="116">
        <f>'насел.'!H33+пільги!H33+субсидії!H33+'держ.бюджет'!H33+'місц.-районн.бюджет'!H33+областной!H33+інші!H33</f>
        <v>445</v>
      </c>
      <c r="I33" s="113">
        <f t="shared" si="3"/>
        <v>51.19061313700678</v>
      </c>
      <c r="J33" s="116">
        <f>'насел.'!J33+пільги!J33+субсидії!J33+'держ.бюджет'!J33+'місц.-районн.бюджет'!J33+областной!J33+інші!J33</f>
        <v>1603.4</v>
      </c>
      <c r="K33" s="116">
        <f>'насел.'!K33+пільги!K33+субсидії!K33+'держ.бюджет'!K33+'місц.-районн.бюджет'!K33+областной!K33+інші!K33</f>
        <v>1392.6</v>
      </c>
      <c r="L33" s="113">
        <f t="shared" si="4"/>
        <v>86.85293750779593</v>
      </c>
      <c r="M33" s="120">
        <f>'насел.'!M33+пільги!M33+субсидії!M33+'держ.бюджет'!M33+'місц.-районн.бюджет'!M33+областной!M33+інші!M33</f>
        <v>210.80000000000007</v>
      </c>
      <c r="N33" s="120">
        <f>'насел.'!N33+пільги!N33+субсидії!N33+'держ.бюджет'!N33+'місц.-районн.бюджет'!N33+областной!N33+інші!N33</f>
        <v>1923.1</v>
      </c>
    </row>
    <row r="34" spans="1:14" ht="27" customHeight="1">
      <c r="A34" s="115" t="s">
        <v>40</v>
      </c>
      <c r="B34" s="149" t="s">
        <v>116</v>
      </c>
      <c r="C34" s="116">
        <f>'насел.'!C34+пільги!C34+субсидії!C34+'держ.бюджет'!C34+'місц.-районн.бюджет'!C34+областной!C34+інші!C34</f>
        <v>-658.0000000000001</v>
      </c>
      <c r="D34" s="116">
        <f>'насел.'!D34+пільги!D34+субсидії!D34+'держ.бюджет'!D34+'місц.-районн.бюджет'!D34+областной!D34+інші!D34</f>
        <v>185.6</v>
      </c>
      <c r="E34" s="116">
        <f>'насел.'!E34+пільги!E34+субсидії!E34+'держ.бюджет'!E34+'місц.-районн.бюджет'!E34+областной!E34+інші!E34</f>
        <v>572.5</v>
      </c>
      <c r="F34" s="113">
        <f t="shared" si="5"/>
        <v>308.45905172413796</v>
      </c>
      <c r="G34" s="116">
        <f>'насел.'!G34+пільги!G34+субсидії!G34+'держ.бюджет'!G34+'місц.-районн.бюджет'!G34+областной!G34+інші!G34</f>
        <v>193.2</v>
      </c>
      <c r="H34" s="116">
        <f>'насел.'!H34+пільги!H34+субсидії!H34+'держ.бюджет'!H34+'місц.-районн.бюджет'!H34+областной!H34+інші!H34</f>
        <v>75.69999999999999</v>
      </c>
      <c r="I34" s="113">
        <f t="shared" si="3"/>
        <v>39.18219461697722</v>
      </c>
      <c r="J34" s="116">
        <f>'насел.'!J34+пільги!J34+субсидії!J34+'держ.бюджет'!J34+'місц.-районн.бюджет'!J34+областной!J34+інші!J34</f>
        <v>378.80000000000007</v>
      </c>
      <c r="K34" s="116">
        <f>'насел.'!K34+пільги!K34+субсидії!K34+'держ.бюджет'!K34+'місц.-районн.бюджет'!K34+областной!K34+інші!K34</f>
        <v>648.1999999999999</v>
      </c>
      <c r="L34" s="113">
        <f t="shared" si="4"/>
        <v>171.11932418162615</v>
      </c>
      <c r="M34" s="120">
        <f>'насел.'!M34+пільги!M34+субсидії!M34+'держ.бюджет'!M34+'місц.-районн.бюджет'!M34+областной!M34+інші!M34</f>
        <v>-269.3999999999999</v>
      </c>
      <c r="N34" s="120">
        <f>'насел.'!N34+пільги!N34+субсидії!N34+'держ.бюджет'!N34+'місц.-районн.бюджет'!N34+областной!N34+інші!N34</f>
        <v>-927.4000000000003</v>
      </c>
    </row>
    <row r="35" spans="1:14" ht="28.5" customHeight="1">
      <c r="A35" s="115" t="s">
        <v>41</v>
      </c>
      <c r="B35" s="117" t="s">
        <v>117</v>
      </c>
      <c r="C35" s="116">
        <f>'насел.'!C35+пільги!C35+субсидії!C35+'держ.бюджет'!C35+'місц.-районн.бюджет'!C35+областной!C35+інші!C35</f>
        <v>-1583.1</v>
      </c>
      <c r="D35" s="116">
        <f>'насел.'!D35+пільги!D35+субсидії!D35+'держ.бюджет'!D35+'місц.-районн.бюджет'!D35+областной!D35+інші!D35</f>
        <v>1965.8</v>
      </c>
      <c r="E35" s="116">
        <f>'насел.'!E35+пільги!E35+субсидії!E35+'держ.бюджет'!E35+'місц.-районн.бюджет'!E35+областной!E35+інші!E35</f>
        <v>1139</v>
      </c>
      <c r="F35" s="113">
        <f t="shared" si="5"/>
        <v>57.94078746566284</v>
      </c>
      <c r="G35" s="116">
        <f>'насел.'!G35+пільги!G35+субсидії!G35+'держ.бюджет'!G35+'місц.-районн.бюджет'!G35+областной!G35+інші!G35</f>
        <v>1897.4</v>
      </c>
      <c r="H35" s="116">
        <f>'насел.'!H35+пільги!H35+субсидії!H35+'держ.бюджет'!H35+'місц.-районн.бюджет'!H35+областной!H35+інші!H35</f>
        <v>1873</v>
      </c>
      <c r="I35" s="113">
        <f t="shared" si="3"/>
        <v>98.71402972488669</v>
      </c>
      <c r="J35" s="116">
        <f>'насел.'!J35+пільги!J35+субсидії!J35+'держ.бюджет'!J35+'місц.-районн.бюджет'!J35+областной!J35+інші!J35</f>
        <v>3863.2</v>
      </c>
      <c r="K35" s="116">
        <f>'насел.'!K35+пільги!K35+субсидії!K35+'держ.бюджет'!K35+'місц.-районн.бюджет'!K35+областной!K35+інші!K35</f>
        <v>3012</v>
      </c>
      <c r="L35" s="113">
        <f t="shared" si="4"/>
        <v>77.96645268171464</v>
      </c>
      <c r="M35" s="120">
        <f>'насел.'!M35+пільги!M35+субсидії!M35+'держ.бюджет'!M35+'місц.-районн.бюджет'!M35+областной!M35+інші!M35</f>
        <v>851.1999999999999</v>
      </c>
      <c r="N35" s="120">
        <f>'насел.'!N35+пільги!N35+субсидії!N35+'держ.бюджет'!N35+'місц.-районн.бюджет'!N35+областной!N35+інші!N35</f>
        <v>-731.9</v>
      </c>
    </row>
    <row r="36" spans="1:14" ht="27" customHeight="1">
      <c r="A36" s="115" t="s">
        <v>42</v>
      </c>
      <c r="B36" s="117" t="s">
        <v>141</v>
      </c>
      <c r="C36" s="116">
        <f>'насел.'!C36+пільги!C36+субсидії!C36+'держ.бюджет'!C36+'місц.-районн.бюджет'!C36+областной!C36+інші!C36</f>
        <v>-4023.4000000000005</v>
      </c>
      <c r="D36" s="116">
        <f>'насел.'!D36+пільги!D36+субсидії!D36+'держ.бюджет'!D36+'місц.-районн.бюджет'!D36+областной!D36+інші!D36</f>
        <v>2244.5</v>
      </c>
      <c r="E36" s="116">
        <f>'насел.'!E36+пільги!E36+субсидії!E36+'держ.бюджет'!E36+'місц.-районн.бюджет'!E36+областной!E36+інші!E36</f>
        <v>1861.8000000000002</v>
      </c>
      <c r="F36" s="113">
        <f t="shared" si="5"/>
        <v>82.94943194475385</v>
      </c>
      <c r="G36" s="116">
        <f>'насел.'!G36+пільги!G36+субсидії!G36+'держ.бюджет'!G36+'місц.-районн.бюджет'!G36+областной!G36+інші!G36</f>
        <v>2163.1</v>
      </c>
      <c r="H36" s="116">
        <f>'насел.'!H36+пільги!H36+субсидії!H36+'держ.бюджет'!H36+'місц.-районн.бюджет'!H36+областной!H36+інші!H36</f>
        <v>1852.1999999999998</v>
      </c>
      <c r="I36" s="113">
        <f t="shared" si="3"/>
        <v>85.62710924136655</v>
      </c>
      <c r="J36" s="116">
        <f>'насел.'!J36+пільги!J36+субсидії!J36+'держ.бюджет'!J36+'місц.-районн.бюджет'!J36+областной!J36+інші!J36</f>
        <v>4407.6</v>
      </c>
      <c r="K36" s="116">
        <f>'насел.'!K36+пільги!K36+субсидії!K36+'держ.бюджет'!K36+'місц.-районн.бюджет'!K36+областной!K36+інші!K36</f>
        <v>3714</v>
      </c>
      <c r="L36" s="113">
        <f t="shared" si="4"/>
        <v>84.26354478627825</v>
      </c>
      <c r="M36" s="120">
        <f>'насел.'!M36+пільги!M36+субсидії!M36+'держ.бюджет'!M36+'місц.-районн.бюджет'!M36+областной!M36+інші!M36</f>
        <v>693.6000000000001</v>
      </c>
      <c r="N36" s="120">
        <f>'насел.'!N36+пільги!N36+субсидії!N36+'держ.бюджет'!N36+'місц.-районн.бюджет'!N36+областной!N36+інші!N36</f>
        <v>-3329.7999999999993</v>
      </c>
    </row>
    <row r="37" spans="1:14" ht="27" customHeight="1">
      <c r="A37" s="115" t="s">
        <v>43</v>
      </c>
      <c r="B37" s="117" t="s">
        <v>119</v>
      </c>
      <c r="C37" s="116">
        <f>'насел.'!C37+пільги!C37+субсидії!C37+'держ.бюджет'!C37+'місц.-районн.бюджет'!C37+областной!C37+інші!C37</f>
        <v>9863.199999999999</v>
      </c>
      <c r="D37" s="116">
        <f>'насел.'!D37+пільги!D37+субсидії!D37+'держ.бюджет'!D37+'місц.-районн.бюджет'!D37+областной!D37+інші!D37</f>
        <v>2672.7999999999997</v>
      </c>
      <c r="E37" s="116">
        <f>'насел.'!E37+пільги!E37+субсидії!E37+'держ.бюджет'!E37+'місц.-районн.бюджет'!E37+областной!E37+інші!E37</f>
        <v>3495.4</v>
      </c>
      <c r="F37" s="113">
        <f t="shared" si="5"/>
        <v>130.77671355881475</v>
      </c>
      <c r="G37" s="116">
        <f>'насел.'!G37+пільги!G37+субсидії!G37+'держ.бюджет'!G37+'місц.-районн.бюджет'!G37+областной!G37+інші!G37</f>
        <v>2726.7000000000003</v>
      </c>
      <c r="H37" s="116">
        <f>'насел.'!H37+пільги!H37+субсидії!H37+'держ.бюджет'!H37+'місц.-районн.бюджет'!H37+областной!H37+інші!H37</f>
        <v>959.6</v>
      </c>
      <c r="I37" s="113">
        <f t="shared" si="3"/>
        <v>35.19272380533245</v>
      </c>
      <c r="J37" s="116">
        <f>'насел.'!J37+пільги!J37+субсидії!J37+'держ.бюджет'!J37+'місц.-районн.бюджет'!J37+областной!J37+інші!J37</f>
        <v>5399.5</v>
      </c>
      <c r="K37" s="116">
        <f>'насел.'!K37+пільги!K37+субсидії!K37+'держ.бюджет'!K37+'місц.-районн.бюджет'!K37+областной!K37+інші!K37</f>
        <v>4455</v>
      </c>
      <c r="L37" s="113">
        <f t="shared" si="4"/>
        <v>82.50763959625891</v>
      </c>
      <c r="M37" s="120">
        <f>'насел.'!M37+пільги!M37+субсидії!M37+'держ.бюджет'!M37+'місц.-районн.бюджет'!M37+областной!M37+інші!M37</f>
        <v>944.4999999999995</v>
      </c>
      <c r="N37" s="120">
        <f>'насел.'!N37+пільги!N37+субсидії!N37+'держ.бюджет'!N37+'місц.-районн.бюджет'!N37+областной!N37+інші!N37</f>
        <v>10807.699999999999</v>
      </c>
    </row>
    <row r="38" spans="1:14" ht="27" customHeight="1">
      <c r="A38" s="115" t="s">
        <v>44</v>
      </c>
      <c r="B38" s="117" t="s">
        <v>127</v>
      </c>
      <c r="C38" s="116">
        <f>'насел.'!C38+пільги!C38+субсидії!C38+'держ.бюджет'!C38+'місц.-районн.бюджет'!C38+областной!C38+інші!C38</f>
        <v>1163.1</v>
      </c>
      <c r="D38" s="116">
        <f>'насел.'!D38+пільги!D38+субсидії!D38+'держ.бюджет'!D38+'місц.-районн.бюджет'!D38+областной!D38+інші!D38</f>
        <v>634</v>
      </c>
      <c r="E38" s="116">
        <f>'насел.'!E38+пільги!E38+субсидії!E38+'держ.бюджет'!E38+'місц.-районн.бюджет'!E38+областной!E38+інші!E38</f>
        <v>621.5</v>
      </c>
      <c r="F38" s="173">
        <f t="shared" si="5"/>
        <v>98.02839116719242</v>
      </c>
      <c r="G38" s="116">
        <f>'насел.'!G38+пільги!G38+субсидії!G38+'держ.бюджет'!G38+'місц.-районн.бюджет'!G38+областной!G38+інші!G38</f>
        <v>591.4</v>
      </c>
      <c r="H38" s="116">
        <f>'насел.'!H38+пільги!H38+субсидії!H38+'держ.бюджет'!H38+'місц.-районн.бюджет'!H38+областной!H38+інші!H38</f>
        <v>420.59999999999997</v>
      </c>
      <c r="I38" s="113">
        <f t="shared" si="3"/>
        <v>71.11937774771728</v>
      </c>
      <c r="J38" s="116">
        <f>'насел.'!J38+пільги!J38+субсидії!J38+'держ.бюджет'!J38+'місц.-районн.бюджет'!J38+областной!J38+інші!J38</f>
        <v>1225.4</v>
      </c>
      <c r="K38" s="116">
        <f>'насел.'!K38+пільги!K38+субсидії!K38+'держ.бюджет'!K38+'місц.-районн.бюджет'!K38+областной!K38+інші!K38</f>
        <v>1042.1</v>
      </c>
      <c r="L38" s="113">
        <f t="shared" si="4"/>
        <v>85.04161906316303</v>
      </c>
      <c r="M38" s="120">
        <f>'насел.'!M38+пільги!M38+субсидії!M38+'держ.бюджет'!M38+'місц.-районн.бюджет'!M38+областной!M38+інші!M38</f>
        <v>183.30000000000007</v>
      </c>
      <c r="N38" s="120">
        <f>'насел.'!N38+пільги!N38+субсидії!N38+'держ.бюджет'!N38+'місц.-районн.бюджет'!N38+областной!N38+інші!N38</f>
        <v>1346.4</v>
      </c>
    </row>
    <row r="39" spans="1:14" ht="22.5" customHeight="1">
      <c r="A39" s="115" t="s">
        <v>45</v>
      </c>
      <c r="B39" s="149" t="s">
        <v>128</v>
      </c>
      <c r="C39" s="116">
        <f>'насел.'!C39+пільги!C39+субсидії!C39+'держ.бюджет'!C39+'місц.-районн.бюджет'!C39+областной!C39+інші!C39</f>
        <v>-2134.4</v>
      </c>
      <c r="D39" s="116">
        <f>'насел.'!D39+пільги!D39+субсидії!D39+'держ.бюджет'!D39+'місц.-районн.бюджет'!D39+областной!D39+інші!D39</f>
        <v>1276.1000000000001</v>
      </c>
      <c r="E39" s="116">
        <f>'насел.'!E39+пільги!E39+субсидії!E39+'держ.бюджет'!E39+'місц.-районн.бюджет'!E39+областной!E39+інші!E39</f>
        <v>1679.5999999999997</v>
      </c>
      <c r="F39" s="113">
        <f t="shared" si="5"/>
        <v>131.6197790141838</v>
      </c>
      <c r="G39" s="116">
        <f>'насел.'!G39+пільги!G39+субсидії!G39+'держ.бюджет'!G39+'місц.-районн.бюджет'!G39+областной!G39+інші!G39</f>
        <v>1272.9</v>
      </c>
      <c r="H39" s="116">
        <f>'насел.'!H39+пільги!H39+субсидії!H39+'держ.бюджет'!H39+'місц.-районн.бюджет'!H39+областной!H39+інші!H39</f>
        <v>1184.4999999999998</v>
      </c>
      <c r="I39" s="113">
        <f t="shared" si="3"/>
        <v>93.0552282190274</v>
      </c>
      <c r="J39" s="116">
        <f>'насел.'!J39+пільги!J39+субсидії!J39+'держ.бюджет'!J39+'місц.-районн.бюджет'!J39+областной!J39+інші!J39</f>
        <v>2549</v>
      </c>
      <c r="K39" s="116">
        <f>'насел.'!K39+пільги!K39+субсидії!K39+'держ.бюджет'!K39+'місц.-районн.бюджет'!K39+областной!K39+інші!K39</f>
        <v>2864.1</v>
      </c>
      <c r="L39" s="113">
        <f t="shared" si="4"/>
        <v>112.36171047469597</v>
      </c>
      <c r="M39" s="120">
        <f>'насел.'!M39+пільги!M39+субсидії!M39+'держ.бюджет'!M39+'місц.-районн.бюджет'!M39+областной!M39+інші!M39</f>
        <v>-315.1000000000001</v>
      </c>
      <c r="N39" s="120">
        <f>'насел.'!N39+пільги!N39+субсидії!N39+'держ.бюджет'!N39+'місц.-районн.бюджет'!N39+областной!N39+інші!N39</f>
        <v>-2449.5</v>
      </c>
    </row>
    <row r="40" spans="1:14" ht="27" customHeight="1">
      <c r="A40" s="115" t="s">
        <v>46</v>
      </c>
      <c r="B40" s="117" t="s">
        <v>120</v>
      </c>
      <c r="C40" s="116">
        <f>'насел.'!C40+пільги!C40+субсидії!C40+'держ.бюджет'!C40+'місц.-районн.бюджет'!C40+областной!C40+інші!C40</f>
        <v>3809.2000000000003</v>
      </c>
      <c r="D40" s="116">
        <f>'насел.'!D40+пільги!D40+субсидії!D40+'держ.бюджет'!D40+'місц.-районн.бюджет'!D40+областной!D40+інші!D40</f>
        <v>1321.9</v>
      </c>
      <c r="E40" s="116">
        <f>'насел.'!E40+пільги!E40+субсидії!E40+'держ.бюджет'!E40+'місц.-районн.бюджет'!E40+областной!E40+інші!E40</f>
        <v>2063.6</v>
      </c>
      <c r="F40" s="113">
        <f t="shared" si="5"/>
        <v>156.1086315152432</v>
      </c>
      <c r="G40" s="116">
        <f>'насел.'!G40+пільги!G40+субсидії!G40+'держ.бюджет'!G40+'місц.-районн.бюджет'!G40+областной!G40+інші!G40</f>
        <v>1292.2</v>
      </c>
      <c r="H40" s="116">
        <f>'насел.'!H40+пільги!H40+субсидії!H40+'держ.бюджет'!H40+'місц.-районн.бюджет'!H40+областной!H40+інші!H40</f>
        <v>689.9999999999999</v>
      </c>
      <c r="I40" s="113">
        <f>H40/G40*100</f>
        <v>53.39730691843367</v>
      </c>
      <c r="J40" s="116">
        <f>'насел.'!J40+пільги!J40+субсидії!J40+'держ.бюджет'!J40+'місц.-районн.бюджет'!J40+областной!J40+інші!J40</f>
        <v>2614.1000000000004</v>
      </c>
      <c r="K40" s="116">
        <f>'насел.'!K40+пільги!K40+субсидії!K40+'держ.бюджет'!K40+'місц.-районн.бюджет'!K40+областной!K40+інші!K40</f>
        <v>2753.6000000000004</v>
      </c>
      <c r="L40" s="113">
        <f>K40/J40*100</f>
        <v>105.33644466546804</v>
      </c>
      <c r="M40" s="120">
        <f>'насел.'!M40+пільги!M40+субсидії!M40+'держ.бюджет'!M40+'місц.-районн.бюджет'!M40+областной!M40+інші!M40</f>
        <v>-139.50000000000009</v>
      </c>
      <c r="N40" s="120">
        <f>'насел.'!N40+пільги!N40+субсидії!N40+'держ.бюджет'!N40+'місц.-районн.бюджет'!N40+областной!N40+інші!N40</f>
        <v>3669.6999999999994</v>
      </c>
    </row>
    <row r="41" spans="1:18" s="114" customFormat="1" ht="27" customHeight="1">
      <c r="A41" s="115" t="s">
        <v>47</v>
      </c>
      <c r="B41" s="118" t="s">
        <v>121</v>
      </c>
      <c r="C41" s="119">
        <f>SUM(C42:C42)</f>
        <v>596576.8</v>
      </c>
      <c r="D41" s="120">
        <f>SUM(D42:D42)</f>
        <v>103976.1</v>
      </c>
      <c r="E41" s="120">
        <f>SUM(E42:E42)</f>
        <v>84016.60000000002</v>
      </c>
      <c r="F41" s="113">
        <f t="shared" si="5"/>
        <v>80.80376163368314</v>
      </c>
      <c r="G41" s="120">
        <f>SUM(G42:G42)</f>
        <v>104486.9</v>
      </c>
      <c r="H41" s="120">
        <f>SUM(H42:H42)</f>
        <v>66607.1</v>
      </c>
      <c r="I41" s="120">
        <f>SUM(I42:I42)</f>
        <v>63.74684290566569</v>
      </c>
      <c r="J41" s="120">
        <f>SUM(J42:J42)</f>
        <v>208463</v>
      </c>
      <c r="K41" s="120">
        <f>SUM(K42:K42)</f>
        <v>150623.7</v>
      </c>
      <c r="L41" s="113">
        <f>K41/J41*100</f>
        <v>72.25440485841614</v>
      </c>
      <c r="M41" s="120">
        <f>SUM(M42:M42)</f>
        <v>57839.29999999999</v>
      </c>
      <c r="N41" s="120">
        <f>SUM(N42:N42)</f>
        <v>654416.1</v>
      </c>
      <c r="O41" s="150">
        <f>D41+G41</f>
        <v>208463</v>
      </c>
      <c r="P41" s="150">
        <f>E41+H41</f>
        <v>150623.7</v>
      </c>
      <c r="Q41" s="150">
        <f>O41-P41</f>
        <v>57839.29999999999</v>
      </c>
      <c r="R41" s="150">
        <f>C41+J41-K41</f>
        <v>654416.1000000001</v>
      </c>
    </row>
    <row r="42" spans="1:14" s="114" customFormat="1" ht="29.25" customHeight="1">
      <c r="A42" s="110"/>
      <c r="B42" s="149" t="s">
        <v>122</v>
      </c>
      <c r="C42" s="116">
        <f>'насел.'!C42+пільги!C42+субсидії!C42+'держ.бюджет'!C42+'місц.-районн.бюджет'!C42+областной!C42+інші!C42</f>
        <v>596576.8</v>
      </c>
      <c r="D42" s="116">
        <f>'насел.'!D42+пільги!D42+субсидії!D42+'держ.бюджет'!D42+'місц.-районн.бюджет'!D42+областной!D42+інші!D42</f>
        <v>103976.1</v>
      </c>
      <c r="E42" s="116">
        <f>'насел.'!E42+пільги!E42+субсидії!E42+'держ.бюджет'!E42+'місц.-районн.бюджет'!E42+областной!E42+інші!E42</f>
        <v>84016.60000000002</v>
      </c>
      <c r="F42" s="113">
        <f t="shared" si="5"/>
        <v>80.80376163368314</v>
      </c>
      <c r="G42" s="116">
        <f>'насел.'!G42+пільги!G42+субсидії!G42+'держ.бюджет'!G42+'місц.-районн.бюджет'!G42+областной!G42+інші!G42</f>
        <v>104486.9</v>
      </c>
      <c r="H42" s="116">
        <f>'насел.'!H42+пільги!H42+субсидії!H42+'держ.бюджет'!H42+'місц.-районн.бюджет'!H42+областной!H42+інші!H42</f>
        <v>66607.1</v>
      </c>
      <c r="I42" s="113">
        <f>H42/G42*100</f>
        <v>63.74684290566569</v>
      </c>
      <c r="J42" s="116">
        <f>'насел.'!J42+пільги!J42+субсидії!J42+'держ.бюджет'!J42+'місц.-районн.бюджет'!J42+областной!J42+інші!J42</f>
        <v>208463</v>
      </c>
      <c r="K42" s="116">
        <f>'насел.'!K42+пільги!K42+субсидії!K42+'держ.бюджет'!K42+'місц.-районн.бюджет'!K42+областной!K42+інші!K42</f>
        <v>150623.7</v>
      </c>
      <c r="L42" s="113">
        <f>K42/J42*100</f>
        <v>72.25440485841614</v>
      </c>
      <c r="M42" s="113">
        <f>J42-K42</f>
        <v>57839.29999999999</v>
      </c>
      <c r="N42" s="116">
        <f>'насел.'!N42+пільги!N42+субсидії!N42+'держ.бюджет'!N42+'місц.-районн.бюджет'!N42+областной!N42+інші!N42</f>
        <v>654416.1</v>
      </c>
    </row>
    <row r="43" spans="1:18" ht="27" customHeight="1">
      <c r="A43" s="115"/>
      <c r="B43" s="118" t="s">
        <v>123</v>
      </c>
      <c r="C43" s="119">
        <f>C41+C7</f>
        <v>610267.4</v>
      </c>
      <c r="D43" s="120">
        <f aca="true" t="shared" si="6" ref="D43:N43">D41+D7</f>
        <v>126610.3</v>
      </c>
      <c r="E43" s="120">
        <f t="shared" si="6"/>
        <v>111380.70000000001</v>
      </c>
      <c r="F43" s="113">
        <f t="shared" si="5"/>
        <v>87.97127879801249</v>
      </c>
      <c r="G43" s="120">
        <f t="shared" si="6"/>
        <v>127243</v>
      </c>
      <c r="H43" s="120">
        <f t="shared" si="6"/>
        <v>82304.1</v>
      </c>
      <c r="I43" s="113">
        <f>H43/G43*100</f>
        <v>64.68261515368233</v>
      </c>
      <c r="J43" s="120">
        <f t="shared" si="6"/>
        <v>253853.3</v>
      </c>
      <c r="K43" s="120">
        <f t="shared" si="6"/>
        <v>193684.80000000002</v>
      </c>
      <c r="L43" s="113">
        <f>K43/J43*100</f>
        <v>76.297924825086</v>
      </c>
      <c r="M43" s="120">
        <f t="shared" si="6"/>
        <v>60168.499999999985</v>
      </c>
      <c r="N43" s="120">
        <f t="shared" si="6"/>
        <v>670435.9</v>
      </c>
      <c r="O43" s="150">
        <f>D43+G43</f>
        <v>253853.3</v>
      </c>
      <c r="P43" s="150">
        <f>E43+H43</f>
        <v>193684.80000000002</v>
      </c>
      <c r="Q43" s="150">
        <f>O43-P43</f>
        <v>60168.49999999997</v>
      </c>
      <c r="R43" s="150">
        <f>C43+J43-K43</f>
        <v>670435.8999999999</v>
      </c>
    </row>
    <row r="44" spans="1:18" ht="32.25" customHeigh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121">
        <f>O41+O7</f>
        <v>253853.3</v>
      </c>
      <c r="P44" s="121">
        <f>P41+P7</f>
        <v>193684.80000000002</v>
      </c>
      <c r="Q44" s="121">
        <f>Q41+Q7</f>
        <v>60168.499999999985</v>
      </c>
      <c r="R44" s="121">
        <f>R41+R7</f>
        <v>670435.9000000001</v>
      </c>
    </row>
    <row r="45" spans="1:26" ht="3.75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P45" s="122"/>
      <c r="X45" s="114"/>
      <c r="Y45" s="114"/>
      <c r="Z45" s="123"/>
    </row>
    <row r="46" spans="2:14" ht="32.25" customHeight="1" hidden="1">
      <c r="B46" s="124"/>
      <c r="C46" s="125" t="e">
        <f>'насел.'!C43+пільги!C43+субсидії!C43+'держ.бюджет'!C43+областной!C43+'місц.-районн.бюджет'!C43+#REF!+інші!C43</f>
        <v>#REF!</v>
      </c>
      <c r="D46" s="125" t="e">
        <f>'насел.'!D43+пільги!D43+субсидії!D43+'держ.бюджет'!D43+областной!D43+'місц.-районн.бюджет'!D43+#REF!+інші!D43</f>
        <v>#REF!</v>
      </c>
      <c r="E46" s="125" t="e">
        <f>'насел.'!E43+пільги!E43+субсидії!E43+'держ.бюджет'!E43+областной!E43+'місц.-районн.бюджет'!E43+#REF!+інші!E43</f>
        <v>#REF!</v>
      </c>
      <c r="F46" s="130"/>
      <c r="G46" s="125"/>
      <c r="H46" s="125"/>
      <c r="I46" s="175"/>
      <c r="J46" s="125"/>
      <c r="K46" s="125"/>
      <c r="L46" s="175"/>
      <c r="M46" s="125"/>
      <c r="N46" s="125">
        <f>D43-E43</f>
        <v>15229.599999999991</v>
      </c>
    </row>
    <row r="47" spans="1:27" s="114" customFormat="1" ht="25.5" customHeight="1">
      <c r="A47" s="126"/>
      <c r="B47" s="126"/>
      <c r="C47" s="127"/>
      <c r="D47" s="128">
        <f>D43-E43</f>
        <v>15229.599999999991</v>
      </c>
      <c r="E47" s="129"/>
      <c r="F47" s="130"/>
      <c r="G47" s="129"/>
      <c r="H47" s="129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29"/>
      <c r="V47" s="108"/>
      <c r="W47" s="108"/>
      <c r="X47" s="131"/>
      <c r="Y47" s="108"/>
      <c r="AA47" s="108"/>
    </row>
    <row r="48" spans="1:27" s="114" customFormat="1" ht="19.5" customHeight="1" hidden="1">
      <c r="A48" s="132"/>
      <c r="B48" s="114" t="s">
        <v>124</v>
      </c>
      <c r="C48" s="127"/>
      <c r="D48" s="129"/>
      <c r="E48" s="129"/>
      <c r="F48" s="130"/>
      <c r="G48" s="129"/>
      <c r="H48" s="129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29"/>
      <c r="V48" s="108"/>
      <c r="W48" s="108"/>
      <c r="X48" s="131"/>
      <c r="Y48" s="108"/>
      <c r="AA48" s="108"/>
    </row>
    <row r="49" spans="1:27" s="114" customFormat="1" ht="7.5" customHeight="1" hidden="1">
      <c r="A49" s="126"/>
      <c r="C49" s="127"/>
      <c r="D49" s="129"/>
      <c r="E49" s="129"/>
      <c r="F49" s="130"/>
      <c r="G49" s="129"/>
      <c r="H49" s="129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29"/>
      <c r="V49" s="108"/>
      <c r="W49" s="108"/>
      <c r="X49" s="131"/>
      <c r="Y49" s="108"/>
      <c r="AA49" s="108"/>
    </row>
    <row r="50" spans="1:27" s="114" customFormat="1" ht="19.5" customHeight="1" hidden="1">
      <c r="A50" s="132"/>
      <c r="B50" s="114" t="s">
        <v>125</v>
      </c>
      <c r="C50" s="127"/>
      <c r="D50" s="129"/>
      <c r="E50" s="129"/>
      <c r="F50" s="130"/>
      <c r="G50" s="129"/>
      <c r="H50" s="129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29"/>
      <c r="V50" s="108"/>
      <c r="W50" s="108"/>
      <c r="X50" s="131"/>
      <c r="Y50" s="108"/>
      <c r="AA50" s="108"/>
    </row>
    <row r="51" spans="1:27" ht="24.75" customHeight="1">
      <c r="A51" s="104"/>
      <c r="C51" s="133"/>
      <c r="D51" s="123"/>
      <c r="E51" s="123"/>
      <c r="F51" s="130"/>
      <c r="G51" s="123"/>
      <c r="H51" s="123"/>
      <c r="I51" s="176"/>
      <c r="J51" s="123"/>
      <c r="K51" s="123"/>
      <c r="L51" s="176"/>
      <c r="M51" s="123"/>
      <c r="N51" s="123"/>
      <c r="O51" s="123"/>
      <c r="P51" s="123"/>
      <c r="Q51" s="123"/>
      <c r="R51" s="123"/>
      <c r="S51" s="123"/>
      <c r="T51" s="123"/>
      <c r="U51" s="123"/>
      <c r="V51" s="109"/>
      <c r="W51" s="109"/>
      <c r="X51" s="134"/>
      <c r="Y51" s="109"/>
      <c r="AA51" s="109"/>
    </row>
    <row r="52" spans="1:15" s="140" customFormat="1" ht="42" customHeight="1">
      <c r="A52" s="135"/>
      <c r="B52" s="206" t="s">
        <v>140</v>
      </c>
      <c r="C52" s="206"/>
      <c r="D52" s="206"/>
      <c r="E52" s="206"/>
      <c r="F52" s="206"/>
      <c r="G52" s="136"/>
      <c r="H52" s="136"/>
      <c r="I52" s="177"/>
      <c r="J52" s="136"/>
      <c r="K52" s="136"/>
      <c r="L52" s="177"/>
      <c r="M52" s="137" t="s">
        <v>139</v>
      </c>
      <c r="N52" s="138"/>
      <c r="O52" s="139"/>
    </row>
    <row r="53" spans="1:14" ht="73.5" customHeight="1" hidden="1">
      <c r="A53" s="199" t="s">
        <v>136</v>
      </c>
      <c r="B53" s="199"/>
      <c r="C53" s="141"/>
      <c r="D53" s="141"/>
      <c r="E53" s="141"/>
      <c r="F53" s="141"/>
      <c r="G53" s="142"/>
      <c r="H53" s="142"/>
      <c r="I53" s="143"/>
      <c r="J53" s="142"/>
      <c r="K53" s="142"/>
      <c r="L53" s="143"/>
      <c r="N53" s="106" t="s">
        <v>137</v>
      </c>
    </row>
  </sheetData>
  <sheetProtection/>
  <mergeCells count="13">
    <mergeCell ref="A53:B53"/>
    <mergeCell ref="C29:N29"/>
    <mergeCell ref="A44:N45"/>
    <mergeCell ref="B52:F52"/>
    <mergeCell ref="D5:F5"/>
    <mergeCell ref="G5:I5"/>
    <mergeCell ref="J5:L5"/>
    <mergeCell ref="M5:M6"/>
    <mergeCell ref="N5:N6"/>
    <mergeCell ref="I1:N1"/>
    <mergeCell ref="B2:N2"/>
    <mergeCell ref="B3:N3"/>
    <mergeCell ref="B4:F4"/>
  </mergeCells>
  <printOptions horizontalCentered="1"/>
  <pageMargins left="0" right="0" top="0" bottom="0" header="0" footer="0"/>
  <pageSetup fitToHeight="1" fitToWidth="1" horizontalDpi="600" verticalDpi="600" orientation="landscape" paperSize="9" scale="50" r:id="rId1"/>
  <rowBreaks count="1" manualBreakCount="1">
    <brk id="30" min="1" max="21" man="1"/>
  </rowBreaks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93"/>
  <sheetViews>
    <sheetView view="pageBreakPreview" zoomScale="76" zoomScaleNormal="50" zoomScaleSheetLayoutView="76" zoomScalePageLayoutView="0" workbookViewId="0" topLeftCell="A1">
      <pane xSplit="6" ySplit="9" topLeftCell="K3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K42" sqref="K42"/>
    </sheetView>
  </sheetViews>
  <sheetFormatPr defaultColWidth="5.75390625" defaultRowHeight="12.75"/>
  <cols>
    <col min="1" max="1" width="5.00390625" style="5" customWidth="1"/>
    <col min="2" max="2" width="51.125" style="6" customWidth="1"/>
    <col min="3" max="3" width="16.875" style="7" customWidth="1"/>
    <col min="4" max="5" width="21.00390625" style="6" customWidth="1"/>
    <col min="6" max="6" width="13.75390625" style="22" customWidth="1"/>
    <col min="7" max="8" width="14.75390625" style="6" customWidth="1"/>
    <col min="9" max="9" width="11.00390625" style="22" customWidth="1"/>
    <col min="10" max="11" width="14.75390625" style="6" customWidth="1"/>
    <col min="12" max="12" width="11.00390625" style="22" customWidth="1"/>
    <col min="13" max="13" width="17.125" style="6" customWidth="1"/>
    <col min="14" max="14" width="21.125" style="6" customWidth="1"/>
    <col min="15" max="15" width="15.375" style="6" customWidth="1"/>
    <col min="16" max="16" width="15.625" style="6" customWidth="1"/>
    <col min="17" max="17" width="10.75390625" style="6" customWidth="1"/>
    <col min="18" max="18" width="14.25390625" style="6" customWidth="1"/>
    <col min="19" max="19" width="6.75390625" style="6" customWidth="1"/>
    <col min="20" max="20" width="12.25390625" style="6" customWidth="1"/>
    <col min="21" max="21" width="10.75390625" style="6" customWidth="1"/>
    <col min="22" max="16384" width="5.75390625" style="6" customWidth="1"/>
  </cols>
  <sheetData>
    <row r="1" spans="9:14" ht="15" customHeight="1">
      <c r="I1" s="216" t="s">
        <v>87</v>
      </c>
      <c r="J1" s="216"/>
      <c r="K1" s="216"/>
      <c r="L1" s="216"/>
      <c r="M1" s="216"/>
      <c r="N1" s="216"/>
    </row>
    <row r="2" spans="2:14" ht="18.75">
      <c r="B2" s="218" t="s">
        <v>130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ht="18.75">
      <c r="B3" s="197" t="s">
        <v>144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4" ht="18.75">
      <c r="B4" s="217"/>
      <c r="C4" s="217"/>
      <c r="D4" s="217"/>
      <c r="E4" s="217"/>
      <c r="F4" s="217"/>
      <c r="G4" s="8"/>
      <c r="H4" s="8"/>
      <c r="I4" s="162"/>
      <c r="J4" s="8"/>
      <c r="K4" s="8"/>
      <c r="L4" s="162"/>
      <c r="M4" s="8"/>
      <c r="N4" s="9" t="s">
        <v>88</v>
      </c>
    </row>
    <row r="5" spans="1:14" ht="58.5" customHeight="1">
      <c r="A5" s="64" t="s">
        <v>56</v>
      </c>
      <c r="B5" s="10"/>
      <c r="C5" s="159" t="s">
        <v>1</v>
      </c>
      <c r="D5" s="190" t="s">
        <v>146</v>
      </c>
      <c r="E5" s="191"/>
      <c r="F5" s="192"/>
      <c r="G5" s="210" t="s">
        <v>147</v>
      </c>
      <c r="H5" s="211"/>
      <c r="I5" s="212"/>
      <c r="J5" s="190" t="s">
        <v>148</v>
      </c>
      <c r="K5" s="191"/>
      <c r="L5" s="192"/>
      <c r="M5" s="193" t="s">
        <v>149</v>
      </c>
      <c r="N5" s="193" t="s">
        <v>145</v>
      </c>
    </row>
    <row r="6" spans="1:14" ht="30" customHeight="1">
      <c r="A6" s="65" t="s">
        <v>57</v>
      </c>
      <c r="B6" s="12" t="s">
        <v>89</v>
      </c>
      <c r="C6" s="160" t="s">
        <v>143</v>
      </c>
      <c r="D6" s="11" t="s">
        <v>150</v>
      </c>
      <c r="E6" s="11" t="s">
        <v>91</v>
      </c>
      <c r="F6" s="66" t="s">
        <v>0</v>
      </c>
      <c r="G6" s="11" t="s">
        <v>150</v>
      </c>
      <c r="H6" s="11" t="s">
        <v>91</v>
      </c>
      <c r="I6" s="66" t="s">
        <v>0</v>
      </c>
      <c r="J6" s="11" t="s">
        <v>150</v>
      </c>
      <c r="K6" s="11" t="s">
        <v>91</v>
      </c>
      <c r="L6" s="66" t="s">
        <v>0</v>
      </c>
      <c r="M6" s="194"/>
      <c r="N6" s="194"/>
    </row>
    <row r="7" spans="1:25" s="22" customFormat="1" ht="36" customHeight="1">
      <c r="A7" s="14"/>
      <c r="B7" s="15" t="s">
        <v>90</v>
      </c>
      <c r="C7" s="17">
        <f>SUM(C8:C40)</f>
        <v>-14666.2</v>
      </c>
      <c r="D7" s="17">
        <f>SUM(D8:D40)</f>
        <v>1988</v>
      </c>
      <c r="E7" s="17">
        <f>SUM(E8:E40)</f>
        <v>7152.3</v>
      </c>
      <c r="F7" s="17">
        <f aca="true" t="shared" si="0" ref="F7:F20">E7/D7*100</f>
        <v>359.7736418511067</v>
      </c>
      <c r="G7" s="17">
        <f>SUM(G8:G40)</f>
        <v>1616.1</v>
      </c>
      <c r="H7" s="17">
        <f>SUM(H8:H40)</f>
        <v>6838.399999999999</v>
      </c>
      <c r="I7" s="17">
        <f aca="true" t="shared" si="1" ref="I7:I24">H7/G7*100</f>
        <v>423.1421322937936</v>
      </c>
      <c r="J7" s="17">
        <f>SUM(J8:J40)</f>
        <v>3604.0999999999995</v>
      </c>
      <c r="K7" s="17">
        <f>SUM(K8:K40)</f>
        <v>13990.7</v>
      </c>
      <c r="L7" s="17">
        <f aca="true" t="shared" si="2" ref="L7:L42">K7/J7*100</f>
        <v>388.1884520407314</v>
      </c>
      <c r="M7" s="17">
        <f>SUM(M8:M40)</f>
        <v>-10386.6</v>
      </c>
      <c r="N7" s="17">
        <f>SUM(N8:N40)</f>
        <v>-25052.799999999996</v>
      </c>
      <c r="O7" s="19">
        <f>SUM(M8:M40)</f>
        <v>-10386.6</v>
      </c>
      <c r="P7" s="19">
        <f>SUM(N8:N40)</f>
        <v>-25052.799999999996</v>
      </c>
      <c r="Q7" s="20"/>
      <c r="R7" s="19"/>
      <c r="S7" s="19"/>
      <c r="T7" s="19"/>
      <c r="U7" s="19"/>
      <c r="V7" s="21"/>
      <c r="W7" s="21"/>
      <c r="X7" s="21"/>
      <c r="Y7" s="21"/>
    </row>
    <row r="8" spans="1:25" ht="24.75" customHeight="1">
      <c r="A8" s="23" t="s">
        <v>14</v>
      </c>
      <c r="B8" s="24" t="s">
        <v>92</v>
      </c>
      <c r="C8" s="25">
        <v>-4244.3</v>
      </c>
      <c r="D8" s="26">
        <v>120.5</v>
      </c>
      <c r="E8" s="26">
        <v>581.6</v>
      </c>
      <c r="F8" s="17">
        <f t="shared" si="0"/>
        <v>482.6556016597511</v>
      </c>
      <c r="G8" s="26">
        <v>151.9</v>
      </c>
      <c r="H8" s="26">
        <v>568.5</v>
      </c>
      <c r="I8" s="17">
        <f t="shared" si="1"/>
        <v>374.2593811718236</v>
      </c>
      <c r="J8" s="28">
        <f>D8+G8</f>
        <v>272.4</v>
      </c>
      <c r="K8" s="28">
        <f>E8+H8</f>
        <v>1150.1</v>
      </c>
      <c r="L8" s="17">
        <f t="shared" si="2"/>
        <v>422.2099853157122</v>
      </c>
      <c r="M8" s="27">
        <f>J8-K8</f>
        <v>-877.6999999999999</v>
      </c>
      <c r="N8" s="29">
        <f>C8+J8-K8</f>
        <v>-5122</v>
      </c>
      <c r="O8" s="31"/>
      <c r="P8" s="31"/>
      <c r="Q8" s="31"/>
      <c r="R8" s="31"/>
      <c r="S8" s="13"/>
      <c r="T8" s="13"/>
      <c r="U8" s="31"/>
      <c r="V8" s="13"/>
      <c r="W8" s="13"/>
      <c r="X8" s="13"/>
      <c r="Y8" s="13"/>
    </row>
    <row r="9" spans="1:25" ht="24.75" customHeight="1">
      <c r="A9" s="23" t="s">
        <v>15</v>
      </c>
      <c r="B9" s="24" t="s">
        <v>93</v>
      </c>
      <c r="C9" s="25">
        <v>-1344.2</v>
      </c>
      <c r="D9" s="26">
        <v>-71.5</v>
      </c>
      <c r="E9" s="26">
        <v>59.1</v>
      </c>
      <c r="F9" s="17">
        <f t="shared" si="0"/>
        <v>-82.65734265734265</v>
      </c>
      <c r="G9" s="26">
        <v>-61.3</v>
      </c>
      <c r="H9" s="26">
        <v>65.9</v>
      </c>
      <c r="I9" s="17">
        <f t="shared" si="1"/>
        <v>-107.50407830342579</v>
      </c>
      <c r="J9" s="28">
        <f aca="true" t="shared" si="3" ref="J9:J28">D9+G9</f>
        <v>-132.8</v>
      </c>
      <c r="K9" s="28">
        <f aca="true" t="shared" si="4" ref="K9:K28">E9+H9</f>
        <v>125</v>
      </c>
      <c r="L9" s="17">
        <f t="shared" si="2"/>
        <v>-94.12650602409639</v>
      </c>
      <c r="M9" s="27">
        <f aca="true" t="shared" si="5" ref="M9:M42">J9-K9</f>
        <v>-257.8</v>
      </c>
      <c r="N9" s="29">
        <f aca="true" t="shared" si="6" ref="N9:N42">C9+J9-K9</f>
        <v>-1602</v>
      </c>
      <c r="O9" s="31"/>
      <c r="P9" s="31"/>
      <c r="Q9" s="31"/>
      <c r="R9" s="31"/>
      <c r="S9" s="13"/>
      <c r="T9" s="13"/>
      <c r="U9" s="31"/>
      <c r="V9" s="13"/>
      <c r="W9" s="13"/>
      <c r="X9" s="13"/>
      <c r="Y9" s="13"/>
    </row>
    <row r="10" spans="1:25" ht="24.75" customHeight="1">
      <c r="A10" s="23" t="s">
        <v>16</v>
      </c>
      <c r="B10" s="32" t="s">
        <v>135</v>
      </c>
      <c r="C10" s="33">
        <v>-197</v>
      </c>
      <c r="D10" s="26">
        <v>3.6</v>
      </c>
      <c r="E10" s="26">
        <v>13.7</v>
      </c>
      <c r="F10" s="17">
        <f t="shared" si="0"/>
        <v>380.55555555555554</v>
      </c>
      <c r="G10" s="26">
        <v>-51.8</v>
      </c>
      <c r="H10" s="26">
        <v>18.5</v>
      </c>
      <c r="I10" s="17">
        <f t="shared" si="1"/>
        <v>-35.714285714285715</v>
      </c>
      <c r="J10" s="28">
        <f t="shared" si="3"/>
        <v>-48.199999999999996</v>
      </c>
      <c r="K10" s="28">
        <f t="shared" si="4"/>
        <v>32.2</v>
      </c>
      <c r="L10" s="17">
        <f t="shared" si="2"/>
        <v>-66.80497925311204</v>
      </c>
      <c r="M10" s="27">
        <f t="shared" si="5"/>
        <v>-80.4</v>
      </c>
      <c r="N10" s="29">
        <f t="shared" si="6"/>
        <v>-277.4</v>
      </c>
      <c r="O10" s="31"/>
      <c r="P10" s="31"/>
      <c r="Q10" s="31"/>
      <c r="R10" s="31"/>
      <c r="S10" s="13"/>
      <c r="T10" s="13"/>
      <c r="U10" s="31"/>
      <c r="V10" s="13"/>
      <c r="W10" s="13"/>
      <c r="X10" s="13"/>
      <c r="Y10" s="13"/>
    </row>
    <row r="11" spans="1:25" ht="24.75" customHeight="1">
      <c r="A11" s="23" t="s">
        <v>17</v>
      </c>
      <c r="B11" s="24" t="s">
        <v>94</v>
      </c>
      <c r="C11" s="25">
        <v>-1077.9</v>
      </c>
      <c r="D11" s="26">
        <v>225.6</v>
      </c>
      <c r="E11" s="26">
        <v>399.6</v>
      </c>
      <c r="F11" s="17">
        <f t="shared" si="0"/>
        <v>177.1276595744681</v>
      </c>
      <c r="G11" s="26">
        <v>-21.9</v>
      </c>
      <c r="H11" s="26">
        <v>65.1</v>
      </c>
      <c r="I11" s="17">
        <f t="shared" si="1"/>
        <v>-297.2602739726027</v>
      </c>
      <c r="J11" s="28">
        <f t="shared" si="3"/>
        <v>203.7</v>
      </c>
      <c r="K11" s="28">
        <f t="shared" si="4"/>
        <v>464.70000000000005</v>
      </c>
      <c r="L11" s="17">
        <f t="shared" si="2"/>
        <v>228.1296023564065</v>
      </c>
      <c r="M11" s="27">
        <f t="shared" si="5"/>
        <v>-261.00000000000006</v>
      </c>
      <c r="N11" s="29">
        <f t="shared" si="6"/>
        <v>-1338.9</v>
      </c>
      <c r="O11" s="31"/>
      <c r="P11" s="31"/>
      <c r="Q11" s="31"/>
      <c r="R11" s="31"/>
      <c r="S11" s="13"/>
      <c r="T11" s="13"/>
      <c r="U11" s="31"/>
      <c r="V11" s="13"/>
      <c r="W11" s="13"/>
      <c r="X11" s="13"/>
      <c r="Y11" s="13"/>
    </row>
    <row r="12" spans="1:25" ht="24.75" customHeight="1">
      <c r="A12" s="23" t="s">
        <v>18</v>
      </c>
      <c r="B12" s="24" t="s">
        <v>95</v>
      </c>
      <c r="C12" s="25">
        <v>-558</v>
      </c>
      <c r="D12" s="26">
        <v>-20.6</v>
      </c>
      <c r="E12" s="26">
        <v>70</v>
      </c>
      <c r="F12" s="178">
        <f t="shared" si="0"/>
        <v>-339.8058252427184</v>
      </c>
      <c r="G12" s="26">
        <v>-16.8</v>
      </c>
      <c r="H12" s="26">
        <v>78.7</v>
      </c>
      <c r="I12" s="69">
        <f t="shared" si="1"/>
        <v>-468.4523809523809</v>
      </c>
      <c r="J12" s="28">
        <f t="shared" si="3"/>
        <v>-37.400000000000006</v>
      </c>
      <c r="K12" s="28">
        <f t="shared" si="4"/>
        <v>148.7</v>
      </c>
      <c r="L12" s="17">
        <f t="shared" si="2"/>
        <v>-397.59358288770045</v>
      </c>
      <c r="M12" s="27">
        <f t="shared" si="5"/>
        <v>-186.1</v>
      </c>
      <c r="N12" s="29">
        <f t="shared" si="6"/>
        <v>-744.0999999999999</v>
      </c>
      <c r="O12" s="31"/>
      <c r="P12" s="31"/>
      <c r="Q12" s="31"/>
      <c r="R12" s="31"/>
      <c r="S12" s="13"/>
      <c r="T12" s="13"/>
      <c r="U12" s="31"/>
      <c r="V12" s="13"/>
      <c r="W12" s="13"/>
      <c r="X12" s="13"/>
      <c r="Y12" s="13"/>
    </row>
    <row r="13" spans="1:25" ht="24.75" customHeight="1">
      <c r="A13" s="23" t="s">
        <v>19</v>
      </c>
      <c r="B13" s="24" t="s">
        <v>96</v>
      </c>
      <c r="C13" s="25">
        <v>-1799.1</v>
      </c>
      <c r="D13" s="26">
        <v>-80</v>
      </c>
      <c r="E13" s="26">
        <v>127.9</v>
      </c>
      <c r="F13" s="17">
        <f t="shared" si="0"/>
        <v>-159.875</v>
      </c>
      <c r="G13" s="26">
        <v>-51.5</v>
      </c>
      <c r="H13" s="26">
        <v>132.7</v>
      </c>
      <c r="I13" s="17">
        <f t="shared" si="1"/>
        <v>-257.66990291262135</v>
      </c>
      <c r="J13" s="28">
        <f t="shared" si="3"/>
        <v>-131.5</v>
      </c>
      <c r="K13" s="28">
        <f t="shared" si="4"/>
        <v>260.6</v>
      </c>
      <c r="L13" s="17">
        <f t="shared" si="2"/>
        <v>-198.17490494296578</v>
      </c>
      <c r="M13" s="27">
        <f t="shared" si="5"/>
        <v>-392.1</v>
      </c>
      <c r="N13" s="29">
        <f t="shared" si="6"/>
        <v>-2191.2</v>
      </c>
      <c r="O13" s="31"/>
      <c r="P13" s="31"/>
      <c r="Q13" s="31"/>
      <c r="R13" s="31"/>
      <c r="S13" s="13"/>
      <c r="T13" s="13"/>
      <c r="U13" s="31"/>
      <c r="V13" s="13"/>
      <c r="W13" s="13"/>
      <c r="X13" s="13"/>
      <c r="Y13" s="13"/>
    </row>
    <row r="14" spans="1:25" ht="24.75" customHeight="1">
      <c r="A14" s="23" t="s">
        <v>20</v>
      </c>
      <c r="B14" s="24" t="s">
        <v>97</v>
      </c>
      <c r="C14" s="25">
        <v>-439.4</v>
      </c>
      <c r="D14" s="26">
        <v>-32.8</v>
      </c>
      <c r="E14" s="26">
        <v>25.1</v>
      </c>
      <c r="F14" s="17">
        <f>E14/D14*100</f>
        <v>-76.52439024390245</v>
      </c>
      <c r="G14" s="26">
        <v>-17.9</v>
      </c>
      <c r="H14" s="26">
        <v>30.4</v>
      </c>
      <c r="I14" s="17">
        <f t="shared" si="1"/>
        <v>-169.83240223463687</v>
      </c>
      <c r="J14" s="28">
        <f t="shared" si="3"/>
        <v>-50.699999999999996</v>
      </c>
      <c r="K14" s="28">
        <f t="shared" si="4"/>
        <v>55.5</v>
      </c>
      <c r="L14" s="17">
        <f t="shared" si="2"/>
        <v>-109.46745562130178</v>
      </c>
      <c r="M14" s="27">
        <f t="shared" si="5"/>
        <v>-106.19999999999999</v>
      </c>
      <c r="N14" s="29">
        <f t="shared" si="6"/>
        <v>-545.5999999999999</v>
      </c>
      <c r="O14" s="31"/>
      <c r="P14" s="31"/>
      <c r="Q14" s="31"/>
      <c r="R14" s="31"/>
      <c r="S14" s="13"/>
      <c r="T14" s="13"/>
      <c r="U14" s="31"/>
      <c r="V14" s="13"/>
      <c r="W14" s="13"/>
      <c r="X14" s="13"/>
      <c r="Y14" s="13"/>
    </row>
    <row r="15" spans="1:25" ht="24.75" customHeight="1">
      <c r="A15" s="23" t="s">
        <v>21</v>
      </c>
      <c r="B15" s="24" t="s">
        <v>98</v>
      </c>
      <c r="C15" s="25">
        <v>-727.3</v>
      </c>
      <c r="D15" s="26">
        <v>90.7</v>
      </c>
      <c r="E15" s="26">
        <v>251.9</v>
      </c>
      <c r="F15" s="17">
        <f t="shared" si="0"/>
        <v>277.728776185226</v>
      </c>
      <c r="G15" s="26">
        <v>52.9</v>
      </c>
      <c r="H15" s="26">
        <v>270.2</v>
      </c>
      <c r="I15" s="17">
        <f t="shared" si="1"/>
        <v>510.77504725897927</v>
      </c>
      <c r="J15" s="28">
        <f t="shared" si="3"/>
        <v>143.6</v>
      </c>
      <c r="K15" s="28">
        <f t="shared" si="4"/>
        <v>522.1</v>
      </c>
      <c r="L15" s="17">
        <f t="shared" si="2"/>
        <v>363.57938718662956</v>
      </c>
      <c r="M15" s="27">
        <f t="shared" si="5"/>
        <v>-378.5</v>
      </c>
      <c r="N15" s="29">
        <f t="shared" si="6"/>
        <v>-1105.8</v>
      </c>
      <c r="O15" s="31"/>
      <c r="P15" s="31"/>
      <c r="Q15" s="31"/>
      <c r="R15" s="31"/>
      <c r="S15" s="13"/>
      <c r="T15" s="13"/>
      <c r="U15" s="31"/>
      <c r="V15" s="13"/>
      <c r="W15" s="13"/>
      <c r="X15" s="13"/>
      <c r="Y15" s="13"/>
    </row>
    <row r="16" spans="1:25" ht="24.75" customHeight="1">
      <c r="A16" s="23" t="s">
        <v>142</v>
      </c>
      <c r="B16" s="24" t="s">
        <v>99</v>
      </c>
      <c r="C16" s="33">
        <v>-102.1</v>
      </c>
      <c r="D16" s="26">
        <v>-8.3</v>
      </c>
      <c r="E16" s="26">
        <v>9.6</v>
      </c>
      <c r="F16" s="17">
        <f t="shared" si="0"/>
        <v>-115.66265060240963</v>
      </c>
      <c r="G16" s="26">
        <v>-3.8</v>
      </c>
      <c r="H16" s="26">
        <v>8.7</v>
      </c>
      <c r="I16" s="17">
        <f t="shared" si="1"/>
        <v>-228.9473684210526</v>
      </c>
      <c r="J16" s="28">
        <f t="shared" si="3"/>
        <v>-12.100000000000001</v>
      </c>
      <c r="K16" s="28">
        <f t="shared" si="4"/>
        <v>18.299999999999997</v>
      </c>
      <c r="L16" s="17">
        <f t="shared" si="2"/>
        <v>-151.23966942148758</v>
      </c>
      <c r="M16" s="27">
        <f t="shared" si="5"/>
        <v>-30.4</v>
      </c>
      <c r="N16" s="29">
        <f t="shared" si="6"/>
        <v>-132.5</v>
      </c>
      <c r="O16" s="31"/>
      <c r="P16" s="31"/>
      <c r="Q16" s="31"/>
      <c r="R16" s="31"/>
      <c r="S16" s="13"/>
      <c r="T16" s="13"/>
      <c r="U16" s="31"/>
      <c r="V16" s="13"/>
      <c r="W16" s="13"/>
      <c r="X16" s="13"/>
      <c r="Y16" s="13"/>
    </row>
    <row r="17" spans="1:25" ht="24.75" customHeight="1">
      <c r="A17" s="23" t="s">
        <v>23</v>
      </c>
      <c r="B17" s="32" t="s">
        <v>100</v>
      </c>
      <c r="C17" s="33">
        <f>2089.7+1257.6</f>
        <v>3347.2999999999997</v>
      </c>
      <c r="D17" s="26">
        <f>370.4+212.9</f>
        <v>583.3</v>
      </c>
      <c r="E17" s="26">
        <f>321.6+204.7</f>
        <v>526.3</v>
      </c>
      <c r="F17" s="17">
        <f t="shared" si="0"/>
        <v>90.22801302931596</v>
      </c>
      <c r="G17" s="26">
        <f>309.7+218.7</f>
        <v>528.4</v>
      </c>
      <c r="H17" s="26">
        <f>218.6+211.3</f>
        <v>429.9</v>
      </c>
      <c r="I17" s="17">
        <f t="shared" si="1"/>
        <v>81.35881907645724</v>
      </c>
      <c r="J17" s="28">
        <f t="shared" si="3"/>
        <v>1111.6999999999998</v>
      </c>
      <c r="K17" s="28">
        <f t="shared" si="4"/>
        <v>956.1999999999999</v>
      </c>
      <c r="L17" s="17">
        <f t="shared" si="2"/>
        <v>86.01241342088693</v>
      </c>
      <c r="M17" s="27">
        <f t="shared" si="5"/>
        <v>155.4999999999999</v>
      </c>
      <c r="N17" s="29">
        <f t="shared" si="6"/>
        <v>3502.8</v>
      </c>
      <c r="O17" s="31"/>
      <c r="P17" s="31"/>
      <c r="Q17" s="31"/>
      <c r="R17" s="31"/>
      <c r="S17" s="13"/>
      <c r="T17" s="13"/>
      <c r="U17" s="31"/>
      <c r="V17" s="13"/>
      <c r="W17" s="13"/>
      <c r="X17" s="13"/>
      <c r="Y17" s="13"/>
    </row>
    <row r="18" spans="1:25" ht="24.75" customHeight="1">
      <c r="A18" s="23" t="s">
        <v>24</v>
      </c>
      <c r="B18" s="32" t="s">
        <v>101</v>
      </c>
      <c r="C18" s="25">
        <v>-64.5</v>
      </c>
      <c r="D18" s="26">
        <v>43.1</v>
      </c>
      <c r="E18" s="26">
        <v>62.1</v>
      </c>
      <c r="F18" s="17">
        <f t="shared" si="0"/>
        <v>144.0835266821346</v>
      </c>
      <c r="G18" s="26">
        <v>39.8</v>
      </c>
      <c r="H18" s="26">
        <v>40.6</v>
      </c>
      <c r="I18" s="17">
        <f t="shared" si="1"/>
        <v>102.01005025125629</v>
      </c>
      <c r="J18" s="28">
        <f t="shared" si="3"/>
        <v>82.9</v>
      </c>
      <c r="K18" s="28">
        <f t="shared" si="4"/>
        <v>102.7</v>
      </c>
      <c r="L18" s="17">
        <f t="shared" si="2"/>
        <v>123.88419782870928</v>
      </c>
      <c r="M18" s="27">
        <f t="shared" si="5"/>
        <v>-19.799999999999997</v>
      </c>
      <c r="N18" s="29">
        <f t="shared" si="6"/>
        <v>-84.3</v>
      </c>
      <c r="O18" s="31"/>
      <c r="P18" s="31"/>
      <c r="Q18" s="31"/>
      <c r="R18" s="31"/>
      <c r="S18" s="13"/>
      <c r="T18" s="13"/>
      <c r="U18" s="31"/>
      <c r="V18" s="13"/>
      <c r="W18" s="13"/>
      <c r="X18" s="13"/>
      <c r="Y18" s="13"/>
    </row>
    <row r="19" spans="1:25" ht="24.75" customHeight="1">
      <c r="A19" s="23" t="s">
        <v>25</v>
      </c>
      <c r="B19" s="24" t="s">
        <v>102</v>
      </c>
      <c r="C19" s="25">
        <v>-77.5</v>
      </c>
      <c r="D19" s="26">
        <v>96.8</v>
      </c>
      <c r="E19" s="26">
        <v>252.6</v>
      </c>
      <c r="F19" s="17">
        <f t="shared" si="0"/>
        <v>260.95041322314046</v>
      </c>
      <c r="G19" s="26">
        <v>47.3</v>
      </c>
      <c r="H19" s="26">
        <v>238.2</v>
      </c>
      <c r="I19" s="69">
        <f t="shared" si="1"/>
        <v>503.59408033826634</v>
      </c>
      <c r="J19" s="28">
        <f t="shared" si="3"/>
        <v>144.1</v>
      </c>
      <c r="K19" s="28">
        <f t="shared" si="4"/>
        <v>490.79999999999995</v>
      </c>
      <c r="L19" s="17">
        <f t="shared" si="2"/>
        <v>340.59680777238026</v>
      </c>
      <c r="M19" s="27">
        <f t="shared" si="5"/>
        <v>-346.69999999999993</v>
      </c>
      <c r="N19" s="29">
        <f t="shared" si="6"/>
        <v>-424.19999999999993</v>
      </c>
      <c r="O19" s="31"/>
      <c r="P19" s="31"/>
      <c r="Q19" s="31"/>
      <c r="R19" s="31"/>
      <c r="S19" s="13"/>
      <c r="T19" s="13"/>
      <c r="U19" s="31"/>
      <c r="V19" s="13"/>
      <c r="W19" s="13"/>
      <c r="X19" s="13"/>
      <c r="Y19" s="13"/>
    </row>
    <row r="20" spans="1:25" ht="24.75" customHeight="1">
      <c r="A20" s="23" t="s">
        <v>26</v>
      </c>
      <c r="B20" s="32" t="s">
        <v>103</v>
      </c>
      <c r="C20" s="34">
        <v>-46.9</v>
      </c>
      <c r="D20" s="26">
        <v>34.9</v>
      </c>
      <c r="E20" s="26">
        <v>46.3</v>
      </c>
      <c r="F20" s="179">
        <f t="shared" si="0"/>
        <v>132.66475644699142</v>
      </c>
      <c r="G20" s="26">
        <v>26.3</v>
      </c>
      <c r="H20" s="26">
        <v>53.3</v>
      </c>
      <c r="I20" s="17">
        <f t="shared" si="1"/>
        <v>202.66159695817487</v>
      </c>
      <c r="J20" s="28">
        <f t="shared" si="3"/>
        <v>61.2</v>
      </c>
      <c r="K20" s="28">
        <f t="shared" si="4"/>
        <v>99.6</v>
      </c>
      <c r="L20" s="17">
        <f t="shared" si="2"/>
        <v>162.74509803921566</v>
      </c>
      <c r="M20" s="27">
        <f t="shared" si="5"/>
        <v>-38.39999999999999</v>
      </c>
      <c r="N20" s="29">
        <f t="shared" si="6"/>
        <v>-85.29999999999998</v>
      </c>
      <c r="O20" s="31"/>
      <c r="P20" s="31"/>
      <c r="Q20" s="31"/>
      <c r="R20" s="31"/>
      <c r="S20" s="13"/>
      <c r="T20" s="13"/>
      <c r="U20" s="31"/>
      <c r="V20" s="13"/>
      <c r="W20" s="13"/>
      <c r="X20" s="13"/>
      <c r="Y20" s="13"/>
    </row>
    <row r="21" spans="1:25" ht="24.75" customHeight="1">
      <c r="A21" s="23" t="s">
        <v>27</v>
      </c>
      <c r="B21" s="35" t="s">
        <v>104</v>
      </c>
      <c r="C21" s="25">
        <v>6.7</v>
      </c>
      <c r="D21" s="26">
        <v>9.6</v>
      </c>
      <c r="E21" s="26">
        <v>7.7</v>
      </c>
      <c r="F21" s="17">
        <f aca="true" t="shared" si="7" ref="F21:F28">E21/D21*100</f>
        <v>80.20833333333334</v>
      </c>
      <c r="G21" s="26">
        <v>6.5</v>
      </c>
      <c r="H21" s="26">
        <v>3.4</v>
      </c>
      <c r="I21" s="17">
        <f t="shared" si="1"/>
        <v>52.307692307692314</v>
      </c>
      <c r="J21" s="28">
        <f t="shared" si="3"/>
        <v>16.1</v>
      </c>
      <c r="K21" s="28">
        <f t="shared" si="4"/>
        <v>11.1</v>
      </c>
      <c r="L21" s="17">
        <f t="shared" si="2"/>
        <v>68.94409937888199</v>
      </c>
      <c r="M21" s="27">
        <f t="shared" si="5"/>
        <v>5.000000000000002</v>
      </c>
      <c r="N21" s="29">
        <f t="shared" si="6"/>
        <v>11.700000000000001</v>
      </c>
      <c r="O21" s="31"/>
      <c r="P21" s="31"/>
      <c r="Q21" s="31"/>
      <c r="R21" s="31"/>
      <c r="S21" s="13"/>
      <c r="T21" s="13"/>
      <c r="U21" s="31"/>
      <c r="V21" s="13"/>
      <c r="W21" s="13"/>
      <c r="X21" s="13"/>
      <c r="Y21" s="13"/>
    </row>
    <row r="22" spans="1:25" ht="24.75" customHeight="1">
      <c r="A22" s="23" t="s">
        <v>28</v>
      </c>
      <c r="B22" s="32" t="s">
        <v>105</v>
      </c>
      <c r="C22" s="36">
        <v>247.2</v>
      </c>
      <c r="D22" s="37">
        <v>62</v>
      </c>
      <c r="E22" s="37">
        <v>49.6</v>
      </c>
      <c r="F22" s="180">
        <f t="shared" si="7"/>
        <v>80</v>
      </c>
      <c r="G22" s="26">
        <v>65.1</v>
      </c>
      <c r="H22" s="26">
        <v>107</v>
      </c>
      <c r="I22" s="183">
        <f t="shared" si="1"/>
        <v>164.36251920122888</v>
      </c>
      <c r="J22" s="28">
        <f t="shared" si="3"/>
        <v>127.1</v>
      </c>
      <c r="K22" s="28">
        <f t="shared" si="4"/>
        <v>156.6</v>
      </c>
      <c r="L22" s="17">
        <f t="shared" si="2"/>
        <v>123.21007081038553</v>
      </c>
      <c r="M22" s="27">
        <f t="shared" si="5"/>
        <v>-29.5</v>
      </c>
      <c r="N22" s="29">
        <f t="shared" si="6"/>
        <v>217.69999999999996</v>
      </c>
      <c r="O22" s="31"/>
      <c r="P22" s="31"/>
      <c r="Q22" s="31"/>
      <c r="R22" s="31"/>
      <c r="S22" s="13"/>
      <c r="T22" s="13"/>
      <c r="U22" s="31"/>
      <c r="V22" s="13"/>
      <c r="W22" s="13"/>
      <c r="X22" s="13"/>
      <c r="Y22" s="13"/>
    </row>
    <row r="23" spans="1:25" ht="24.75" customHeight="1">
      <c r="A23" s="23" t="s">
        <v>29</v>
      </c>
      <c r="B23" s="32" t="s">
        <v>126</v>
      </c>
      <c r="C23" s="25">
        <v>-85.8</v>
      </c>
      <c r="D23" s="26">
        <v>0</v>
      </c>
      <c r="E23" s="26">
        <v>10.3</v>
      </c>
      <c r="F23" s="181" t="e">
        <f t="shared" si="7"/>
        <v>#DIV/0!</v>
      </c>
      <c r="G23" s="26">
        <v>-0.9</v>
      </c>
      <c r="H23" s="26">
        <v>7.2</v>
      </c>
      <c r="I23" s="183">
        <f t="shared" si="1"/>
        <v>-800</v>
      </c>
      <c r="J23" s="28">
        <f t="shared" si="3"/>
        <v>-0.9</v>
      </c>
      <c r="K23" s="28">
        <f t="shared" si="4"/>
        <v>17.5</v>
      </c>
      <c r="L23" s="17">
        <f t="shared" si="2"/>
        <v>-1944.4444444444443</v>
      </c>
      <c r="M23" s="27">
        <f t="shared" si="5"/>
        <v>-18.4</v>
      </c>
      <c r="N23" s="29">
        <f t="shared" si="6"/>
        <v>-104.2</v>
      </c>
      <c r="O23" s="31"/>
      <c r="P23" s="31"/>
      <c r="Q23" s="31"/>
      <c r="R23" s="31"/>
      <c r="S23" s="13"/>
      <c r="T23" s="13"/>
      <c r="U23" s="31"/>
      <c r="V23" s="13"/>
      <c r="W23" s="13"/>
      <c r="X23" s="13"/>
      <c r="Y23" s="13"/>
    </row>
    <row r="24" spans="1:25" ht="24.75" customHeight="1">
      <c r="A24" s="23" t="s">
        <v>30</v>
      </c>
      <c r="B24" s="32" t="s">
        <v>106</v>
      </c>
      <c r="C24" s="25">
        <v>-1676.3</v>
      </c>
      <c r="D24" s="26">
        <v>268</v>
      </c>
      <c r="E24" s="26">
        <v>583.2</v>
      </c>
      <c r="F24" s="17">
        <f t="shared" si="7"/>
        <v>217.6119402985075</v>
      </c>
      <c r="G24" s="26">
        <v>280.2</v>
      </c>
      <c r="H24" s="26">
        <v>584.6</v>
      </c>
      <c r="I24" s="17">
        <f t="shared" si="1"/>
        <v>208.63668807994293</v>
      </c>
      <c r="J24" s="28">
        <f t="shared" si="3"/>
        <v>548.2</v>
      </c>
      <c r="K24" s="28">
        <f t="shared" si="4"/>
        <v>1167.8000000000002</v>
      </c>
      <c r="L24" s="17">
        <f t="shared" si="2"/>
        <v>213.02444363371035</v>
      </c>
      <c r="M24" s="27">
        <f t="shared" si="5"/>
        <v>-619.6000000000001</v>
      </c>
      <c r="N24" s="29">
        <f t="shared" si="6"/>
        <v>-2295.9</v>
      </c>
      <c r="O24" s="31"/>
      <c r="P24" s="31"/>
      <c r="Q24" s="31"/>
      <c r="R24" s="31"/>
      <c r="S24" s="13"/>
      <c r="T24" s="13"/>
      <c r="U24" s="31"/>
      <c r="V24" s="13"/>
      <c r="W24" s="13"/>
      <c r="X24" s="13"/>
      <c r="Y24" s="13"/>
    </row>
    <row r="25" spans="1:25" ht="24.75" customHeight="1">
      <c r="A25" s="23" t="s">
        <v>31</v>
      </c>
      <c r="B25" s="24" t="s">
        <v>107</v>
      </c>
      <c r="C25" s="25">
        <v>-725.4</v>
      </c>
      <c r="D25" s="26">
        <v>-27.1</v>
      </c>
      <c r="E25" s="26">
        <v>70.1</v>
      </c>
      <c r="F25" s="17">
        <f t="shared" si="7"/>
        <v>-258.67158671586714</v>
      </c>
      <c r="G25" s="26">
        <v>-32</v>
      </c>
      <c r="H25" s="26">
        <v>66.1</v>
      </c>
      <c r="I25" s="17">
        <f>H25/G25*100</f>
        <v>-206.56249999999997</v>
      </c>
      <c r="J25" s="28">
        <f t="shared" si="3"/>
        <v>-59.1</v>
      </c>
      <c r="K25" s="28">
        <f t="shared" si="4"/>
        <v>136.2</v>
      </c>
      <c r="L25" s="17">
        <f t="shared" si="2"/>
        <v>-230.45685279187813</v>
      </c>
      <c r="M25" s="27">
        <f t="shared" si="5"/>
        <v>-195.29999999999998</v>
      </c>
      <c r="N25" s="29">
        <f t="shared" si="6"/>
        <v>-920.7</v>
      </c>
      <c r="O25" s="31"/>
      <c r="P25" s="31"/>
      <c r="Q25" s="31"/>
      <c r="R25" s="31"/>
      <c r="S25" s="13"/>
      <c r="T25" s="13"/>
      <c r="U25" s="31"/>
      <c r="V25" s="13"/>
      <c r="W25" s="13"/>
      <c r="X25" s="13"/>
      <c r="Y25" s="13"/>
    </row>
    <row r="26" spans="1:25" ht="24.75" customHeight="1">
      <c r="A26" s="23" t="s">
        <v>32</v>
      </c>
      <c r="B26" s="32" t="s">
        <v>108</v>
      </c>
      <c r="C26" s="25">
        <v>63.5</v>
      </c>
      <c r="D26" s="26">
        <v>16.4</v>
      </c>
      <c r="E26" s="26">
        <v>8.9</v>
      </c>
      <c r="F26" s="17">
        <f t="shared" si="7"/>
        <v>54.268292682926834</v>
      </c>
      <c r="G26" s="26">
        <v>19.6</v>
      </c>
      <c r="H26" s="26">
        <v>6.5</v>
      </c>
      <c r="I26" s="17">
        <f>H26/G26*100</f>
        <v>33.16326530612245</v>
      </c>
      <c r="J26" s="28">
        <f t="shared" si="3"/>
        <v>36</v>
      </c>
      <c r="K26" s="28">
        <f t="shared" si="4"/>
        <v>15.4</v>
      </c>
      <c r="L26" s="17">
        <f t="shared" si="2"/>
        <v>42.77777777777778</v>
      </c>
      <c r="M26" s="27">
        <f t="shared" si="5"/>
        <v>20.6</v>
      </c>
      <c r="N26" s="29">
        <f t="shared" si="6"/>
        <v>84.1</v>
      </c>
      <c r="O26" s="31"/>
      <c r="P26" s="31"/>
      <c r="Q26" s="31"/>
      <c r="R26" s="31"/>
      <c r="S26" s="13"/>
      <c r="T26" s="13"/>
      <c r="U26" s="31"/>
      <c r="V26" s="13"/>
      <c r="W26" s="13"/>
      <c r="X26" s="13"/>
      <c r="Y26" s="13"/>
    </row>
    <row r="27" spans="1:25" ht="24.75" customHeight="1">
      <c r="A27" s="23" t="s">
        <v>33</v>
      </c>
      <c r="B27" s="32" t="s">
        <v>109</v>
      </c>
      <c r="C27" s="25">
        <v>-1643.2</v>
      </c>
      <c r="D27" s="26">
        <v>-154.7</v>
      </c>
      <c r="E27" s="26">
        <v>106.8</v>
      </c>
      <c r="F27" s="182">
        <f t="shared" si="7"/>
        <v>-69.03684550743374</v>
      </c>
      <c r="G27" s="26">
        <v>-35.8</v>
      </c>
      <c r="H27" s="26">
        <v>91.3</v>
      </c>
      <c r="I27" s="17">
        <f>H27/G27*100</f>
        <v>-255.02793296089385</v>
      </c>
      <c r="J27" s="28">
        <f t="shared" si="3"/>
        <v>-190.5</v>
      </c>
      <c r="K27" s="28">
        <f t="shared" si="4"/>
        <v>198.1</v>
      </c>
      <c r="L27" s="17">
        <f t="shared" si="2"/>
        <v>-103.98950131233595</v>
      </c>
      <c r="M27" s="27">
        <f t="shared" si="5"/>
        <v>-388.6</v>
      </c>
      <c r="N27" s="29">
        <f t="shared" si="6"/>
        <v>-2031.8</v>
      </c>
      <c r="O27" s="31"/>
      <c r="P27" s="31"/>
      <c r="Q27" s="31"/>
      <c r="R27" s="31"/>
      <c r="S27" s="13"/>
      <c r="T27" s="13"/>
      <c r="U27" s="31"/>
      <c r="V27" s="13"/>
      <c r="W27" s="13"/>
      <c r="X27" s="13"/>
      <c r="Y27" s="13"/>
    </row>
    <row r="28" spans="1:25" ht="24.75" customHeight="1">
      <c r="A28" s="23" t="s">
        <v>34</v>
      </c>
      <c r="B28" s="24" t="s">
        <v>110</v>
      </c>
      <c r="C28" s="34">
        <v>-176.3</v>
      </c>
      <c r="D28" s="26">
        <v>27.3</v>
      </c>
      <c r="E28" s="26">
        <v>51.8</v>
      </c>
      <c r="F28" s="17">
        <f t="shared" si="7"/>
        <v>189.74358974358972</v>
      </c>
      <c r="G28" s="26">
        <v>25.3</v>
      </c>
      <c r="H28" s="38">
        <v>54.9</v>
      </c>
      <c r="I28" s="179">
        <f>H28/G28*100</f>
        <v>216.99604743083003</v>
      </c>
      <c r="J28" s="28">
        <f t="shared" si="3"/>
        <v>52.6</v>
      </c>
      <c r="K28" s="28">
        <f t="shared" si="4"/>
        <v>106.69999999999999</v>
      </c>
      <c r="L28" s="17">
        <f t="shared" si="2"/>
        <v>202.85171102661593</v>
      </c>
      <c r="M28" s="27">
        <f t="shared" si="5"/>
        <v>-54.09999999999999</v>
      </c>
      <c r="N28" s="29">
        <f t="shared" si="6"/>
        <v>-230.4</v>
      </c>
      <c r="O28" s="31"/>
      <c r="P28" s="31"/>
      <c r="Q28" s="31"/>
      <c r="R28" s="31"/>
      <c r="S28" s="13"/>
      <c r="T28" s="13"/>
      <c r="U28" s="31"/>
      <c r="V28" s="13"/>
      <c r="W28" s="13"/>
      <c r="X28" s="13"/>
      <c r="Y28" s="13"/>
    </row>
    <row r="29" spans="1:25" ht="24.75" customHeight="1">
      <c r="A29" s="23" t="s">
        <v>35</v>
      </c>
      <c r="B29" s="39" t="s">
        <v>111</v>
      </c>
      <c r="C29" s="219" t="s">
        <v>129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7"/>
      <c r="N29" s="158"/>
      <c r="O29" s="31"/>
      <c r="P29" s="40"/>
      <c r="Q29" s="31"/>
      <c r="R29" s="31"/>
      <c r="S29" s="13"/>
      <c r="T29" s="13"/>
      <c r="U29" s="31"/>
      <c r="V29" s="13"/>
      <c r="W29" s="13"/>
      <c r="X29" s="13"/>
      <c r="Y29" s="13"/>
    </row>
    <row r="30" spans="1:25" ht="24.75" customHeight="1">
      <c r="A30" s="23" t="s">
        <v>36</v>
      </c>
      <c r="B30" s="32" t="s">
        <v>112</v>
      </c>
      <c r="C30" s="41">
        <v>-287.7</v>
      </c>
      <c r="D30" s="26">
        <v>9</v>
      </c>
      <c r="E30" s="26">
        <v>30.5</v>
      </c>
      <c r="F30" s="180">
        <f>E30/D30*100</f>
        <v>338.88888888888886</v>
      </c>
      <c r="G30" s="26">
        <v>16.9</v>
      </c>
      <c r="H30" s="26">
        <v>39</v>
      </c>
      <c r="I30" s="69">
        <f aca="true" t="shared" si="8" ref="I30:I35">H30/G30*100</f>
        <v>230.7692307692308</v>
      </c>
      <c r="J30" s="28">
        <f aca="true" t="shared" si="9" ref="J30:J43">D30+G30</f>
        <v>25.9</v>
      </c>
      <c r="K30" s="28">
        <f aca="true" t="shared" si="10" ref="K30:K43">E30+H30</f>
        <v>69.5</v>
      </c>
      <c r="L30" s="17">
        <f t="shared" si="2"/>
        <v>268.33976833976834</v>
      </c>
      <c r="M30" s="27">
        <f t="shared" si="5"/>
        <v>-43.6</v>
      </c>
      <c r="N30" s="29">
        <f t="shared" si="6"/>
        <v>-331.3</v>
      </c>
      <c r="O30" s="31"/>
      <c r="P30" s="31"/>
      <c r="Q30" s="31"/>
      <c r="R30" s="31"/>
      <c r="S30" s="13"/>
      <c r="T30" s="13"/>
      <c r="U30" s="31"/>
      <c r="V30" s="13"/>
      <c r="W30" s="13"/>
      <c r="X30" s="13"/>
      <c r="Y30" s="13"/>
    </row>
    <row r="31" spans="1:25" ht="24.75" customHeight="1">
      <c r="A31" s="23" t="s">
        <v>37</v>
      </c>
      <c r="B31" s="32" t="s">
        <v>113</v>
      </c>
      <c r="C31" s="25">
        <v>-1097.5</v>
      </c>
      <c r="D31" s="26">
        <v>-48.5</v>
      </c>
      <c r="E31" s="26">
        <v>30.5</v>
      </c>
      <c r="F31" s="180">
        <f>E31/D31*100</f>
        <v>-62.88659793814433</v>
      </c>
      <c r="G31" s="26">
        <v>-39.9</v>
      </c>
      <c r="H31" s="26">
        <v>30.5</v>
      </c>
      <c r="I31" s="69">
        <f t="shared" si="8"/>
        <v>-76.44110275689223</v>
      </c>
      <c r="J31" s="28">
        <f t="shared" si="9"/>
        <v>-88.4</v>
      </c>
      <c r="K31" s="28">
        <f t="shared" si="10"/>
        <v>61</v>
      </c>
      <c r="L31" s="17">
        <f t="shared" si="2"/>
        <v>-69.00452488687783</v>
      </c>
      <c r="M31" s="27">
        <f t="shared" si="5"/>
        <v>-149.4</v>
      </c>
      <c r="N31" s="29">
        <f t="shared" si="6"/>
        <v>-1246.9</v>
      </c>
      <c r="O31" s="31"/>
      <c r="P31" s="31"/>
      <c r="Q31" s="31"/>
      <c r="R31" s="31"/>
      <c r="S31" s="13"/>
      <c r="T31" s="13"/>
      <c r="U31" s="31"/>
      <c r="V31" s="13"/>
      <c r="W31" s="13"/>
      <c r="X31" s="13"/>
      <c r="Y31" s="13"/>
    </row>
    <row r="32" spans="1:25" ht="24.75" customHeight="1">
      <c r="A32" s="23" t="s">
        <v>38</v>
      </c>
      <c r="B32" s="32" t="s">
        <v>114</v>
      </c>
      <c r="C32" s="25">
        <v>1665.1</v>
      </c>
      <c r="D32" s="38">
        <v>733.5</v>
      </c>
      <c r="E32" s="26">
        <v>855.8</v>
      </c>
      <c r="F32" s="68">
        <f>E32/D32*100</f>
        <v>116.67348329925017</v>
      </c>
      <c r="G32" s="26">
        <v>579.9</v>
      </c>
      <c r="H32" s="26">
        <v>819.3</v>
      </c>
      <c r="I32" s="17">
        <f t="shared" si="8"/>
        <v>141.2829798241076</v>
      </c>
      <c r="J32" s="28">
        <f t="shared" si="9"/>
        <v>1313.4</v>
      </c>
      <c r="K32" s="28">
        <f t="shared" si="10"/>
        <v>1675.1</v>
      </c>
      <c r="L32" s="17">
        <f t="shared" si="2"/>
        <v>127.5392112075529</v>
      </c>
      <c r="M32" s="27">
        <f t="shared" si="5"/>
        <v>-361.6999999999998</v>
      </c>
      <c r="N32" s="29">
        <f t="shared" si="6"/>
        <v>1303.4</v>
      </c>
      <c r="O32" s="31"/>
      <c r="P32" s="31"/>
      <c r="Q32" s="31"/>
      <c r="R32" s="31"/>
      <c r="S32" s="13"/>
      <c r="T32" s="13"/>
      <c r="U32" s="31"/>
      <c r="V32" s="13"/>
      <c r="W32" s="13"/>
      <c r="X32" s="13"/>
      <c r="Y32" s="13"/>
    </row>
    <row r="33" spans="1:25" s="104" customFormat="1" ht="24.75" customHeight="1">
      <c r="A33" s="115" t="s">
        <v>39</v>
      </c>
      <c r="B33" s="117" t="s">
        <v>115</v>
      </c>
      <c r="C33" s="144">
        <v>839.3</v>
      </c>
      <c r="D33" s="145">
        <v>194.3</v>
      </c>
      <c r="E33" s="145">
        <v>193.7</v>
      </c>
      <c r="F33" s="113">
        <f>E33/D33*100</f>
        <v>99.69119917653113</v>
      </c>
      <c r="G33" s="146">
        <v>242.2</v>
      </c>
      <c r="H33" s="146">
        <v>211.5</v>
      </c>
      <c r="I33" s="113">
        <f t="shared" si="8"/>
        <v>87.32452518579686</v>
      </c>
      <c r="J33" s="28">
        <f t="shared" si="9"/>
        <v>436.5</v>
      </c>
      <c r="K33" s="28">
        <f t="shared" si="10"/>
        <v>405.2</v>
      </c>
      <c r="L33" s="113">
        <f t="shared" si="2"/>
        <v>92.82932416953035</v>
      </c>
      <c r="M33" s="27">
        <f t="shared" si="5"/>
        <v>31.30000000000001</v>
      </c>
      <c r="N33" s="29">
        <f t="shared" si="6"/>
        <v>870.5999999999999</v>
      </c>
      <c r="O33" s="147"/>
      <c r="P33" s="147"/>
      <c r="Q33" s="147"/>
      <c r="R33" s="147"/>
      <c r="S33" s="148"/>
      <c r="T33" s="148"/>
      <c r="U33" s="147"/>
      <c r="V33" s="148"/>
      <c r="W33" s="148"/>
      <c r="X33" s="148"/>
      <c r="Y33" s="148"/>
    </row>
    <row r="34" spans="1:25" ht="24.75" customHeight="1">
      <c r="A34" s="23" t="s">
        <v>40</v>
      </c>
      <c r="B34" s="24" t="s">
        <v>116</v>
      </c>
      <c r="C34" s="33">
        <v>-1182.7</v>
      </c>
      <c r="D34" s="37">
        <v>-82.3</v>
      </c>
      <c r="E34" s="37">
        <v>33.4</v>
      </c>
      <c r="F34" s="17">
        <f>E34/D34*100</f>
        <v>-40.58323207776427</v>
      </c>
      <c r="G34" s="26">
        <v>-74</v>
      </c>
      <c r="H34" s="26">
        <v>38.8</v>
      </c>
      <c r="I34" s="17">
        <f t="shared" si="8"/>
        <v>-52.43243243243243</v>
      </c>
      <c r="J34" s="28">
        <f t="shared" si="9"/>
        <v>-156.3</v>
      </c>
      <c r="K34" s="28">
        <f t="shared" si="10"/>
        <v>72.19999999999999</v>
      </c>
      <c r="L34" s="17">
        <f t="shared" si="2"/>
        <v>-46.19321817018553</v>
      </c>
      <c r="M34" s="27">
        <f t="shared" si="5"/>
        <v>-228.5</v>
      </c>
      <c r="N34" s="29">
        <f t="shared" si="6"/>
        <v>-1411.2</v>
      </c>
      <c r="O34" s="31"/>
      <c r="P34" s="31"/>
      <c r="Q34" s="31"/>
      <c r="R34" s="31"/>
      <c r="S34" s="13"/>
      <c r="T34" s="13"/>
      <c r="U34" s="31"/>
      <c r="V34" s="13"/>
      <c r="W34" s="13"/>
      <c r="X34" s="13"/>
      <c r="Y34" s="13"/>
    </row>
    <row r="35" spans="1:25" ht="24.75" customHeight="1">
      <c r="A35" s="23" t="s">
        <v>41</v>
      </c>
      <c r="B35" s="32" t="s">
        <v>117</v>
      </c>
      <c r="C35" s="33">
        <v>-3563</v>
      </c>
      <c r="D35" s="26">
        <v>23.6</v>
      </c>
      <c r="E35" s="26">
        <v>469</v>
      </c>
      <c r="F35" s="17">
        <f aca="true" t="shared" si="11" ref="F35:F41">E35/D35*100</f>
        <v>1987.28813559322</v>
      </c>
      <c r="G35" s="26">
        <v>-18</v>
      </c>
      <c r="H35" s="26">
        <v>501.9</v>
      </c>
      <c r="I35" s="17">
        <f t="shared" si="8"/>
        <v>-2788.3333333333335</v>
      </c>
      <c r="J35" s="28">
        <f t="shared" si="9"/>
        <v>5.600000000000001</v>
      </c>
      <c r="K35" s="28">
        <f t="shared" si="10"/>
        <v>970.9</v>
      </c>
      <c r="L35" s="17">
        <f t="shared" si="2"/>
        <v>17337.499999999993</v>
      </c>
      <c r="M35" s="27">
        <f t="shared" si="5"/>
        <v>-965.3</v>
      </c>
      <c r="N35" s="29">
        <f t="shared" si="6"/>
        <v>-4528.3</v>
      </c>
      <c r="O35" s="31"/>
      <c r="P35" s="31"/>
      <c r="Q35" s="31"/>
      <c r="R35" s="31"/>
      <c r="S35" s="13"/>
      <c r="T35" s="13"/>
      <c r="U35" s="31"/>
      <c r="V35" s="13"/>
      <c r="W35" s="13"/>
      <c r="X35" s="13"/>
      <c r="Y35" s="13"/>
    </row>
    <row r="36" spans="1:25" ht="24.75" customHeight="1">
      <c r="A36" s="23" t="s">
        <v>42</v>
      </c>
      <c r="B36" s="32" t="s">
        <v>118</v>
      </c>
      <c r="C36" s="33">
        <f>-5917.2+(-107.5)</f>
        <v>-6024.7</v>
      </c>
      <c r="D36" s="26">
        <f>-10.1+6.5</f>
        <v>-3.5999999999999996</v>
      </c>
      <c r="E36" s="26">
        <f>472.4+15.8</f>
        <v>488.2</v>
      </c>
      <c r="F36" s="17">
        <f t="shared" si="11"/>
        <v>-13561.111111111111</v>
      </c>
      <c r="G36" s="26">
        <f>-51.5+5.5</f>
        <v>-46</v>
      </c>
      <c r="H36" s="26">
        <f>477.2+15</f>
        <v>492.2</v>
      </c>
      <c r="I36" s="17">
        <f aca="true" t="shared" si="12" ref="I36:I41">H36/G36*100</f>
        <v>-1070</v>
      </c>
      <c r="J36" s="28">
        <f t="shared" si="9"/>
        <v>-49.6</v>
      </c>
      <c r="K36" s="28">
        <f t="shared" si="10"/>
        <v>980.4</v>
      </c>
      <c r="L36" s="17">
        <f t="shared" si="2"/>
        <v>-1976.6129032258063</v>
      </c>
      <c r="M36" s="27">
        <f t="shared" si="5"/>
        <v>-1030</v>
      </c>
      <c r="N36" s="29">
        <f t="shared" si="6"/>
        <v>-7054.7</v>
      </c>
      <c r="O36" s="31"/>
      <c r="P36" s="31"/>
      <c r="Q36" s="31"/>
      <c r="R36" s="31"/>
      <c r="S36" s="13"/>
      <c r="T36" s="13"/>
      <c r="U36" s="31"/>
      <c r="V36" s="13"/>
      <c r="W36" s="13"/>
      <c r="X36" s="13"/>
      <c r="Y36" s="13"/>
    </row>
    <row r="37" spans="1:25" ht="24.75" customHeight="1">
      <c r="A37" s="23" t="s">
        <v>43</v>
      </c>
      <c r="B37" s="32" t="s">
        <v>119</v>
      </c>
      <c r="C37" s="25">
        <v>6921.9</v>
      </c>
      <c r="D37" s="26">
        <v>-304.2</v>
      </c>
      <c r="E37" s="26">
        <v>693.1</v>
      </c>
      <c r="F37" s="17">
        <f t="shared" si="11"/>
        <v>-227.84352399737017</v>
      </c>
      <c r="G37" s="26">
        <v>-262.5</v>
      </c>
      <c r="H37" s="26">
        <v>680.5</v>
      </c>
      <c r="I37" s="17">
        <f t="shared" si="12"/>
        <v>-259.23809523809524</v>
      </c>
      <c r="J37" s="28">
        <f t="shared" si="9"/>
        <v>-566.7</v>
      </c>
      <c r="K37" s="28">
        <f t="shared" si="10"/>
        <v>1373.6</v>
      </c>
      <c r="L37" s="17">
        <f t="shared" si="2"/>
        <v>-242.38574201517557</v>
      </c>
      <c r="M37" s="27">
        <f t="shared" si="5"/>
        <v>-1940.3</v>
      </c>
      <c r="N37" s="29">
        <f t="shared" si="6"/>
        <v>4981.6</v>
      </c>
      <c r="O37" s="31"/>
      <c r="P37" s="31"/>
      <c r="Q37" s="31"/>
      <c r="R37" s="31"/>
      <c r="S37" s="13"/>
      <c r="T37" s="13"/>
      <c r="U37" s="31"/>
      <c r="V37" s="13"/>
      <c r="W37" s="13"/>
      <c r="X37" s="13"/>
      <c r="Y37" s="13"/>
    </row>
    <row r="38" spans="1:25" ht="24.75" customHeight="1">
      <c r="A38" s="23" t="s">
        <v>44</v>
      </c>
      <c r="B38" s="32" t="s">
        <v>127</v>
      </c>
      <c r="C38" s="25">
        <v>675.4</v>
      </c>
      <c r="D38" s="26">
        <v>111.7</v>
      </c>
      <c r="E38" s="26">
        <v>194.2</v>
      </c>
      <c r="F38" s="17">
        <f t="shared" si="11"/>
        <v>173.85854968666067</v>
      </c>
      <c r="G38" s="26">
        <v>128.7</v>
      </c>
      <c r="H38" s="26">
        <v>220.2</v>
      </c>
      <c r="I38" s="17">
        <f t="shared" si="12"/>
        <v>171.0955710955711</v>
      </c>
      <c r="J38" s="28">
        <f t="shared" si="9"/>
        <v>240.39999999999998</v>
      </c>
      <c r="K38" s="28">
        <f t="shared" si="10"/>
        <v>414.4</v>
      </c>
      <c r="L38" s="17">
        <f t="shared" si="2"/>
        <v>172.3793677204659</v>
      </c>
      <c r="M38" s="27">
        <f t="shared" si="5"/>
        <v>-174</v>
      </c>
      <c r="N38" s="29">
        <f t="shared" si="6"/>
        <v>501.4</v>
      </c>
      <c r="O38" s="31"/>
      <c r="P38" s="31"/>
      <c r="Q38" s="31"/>
      <c r="R38" s="31"/>
      <c r="S38" s="13"/>
      <c r="T38" s="13"/>
      <c r="U38" s="31"/>
      <c r="V38" s="13"/>
      <c r="W38" s="13"/>
      <c r="X38" s="13"/>
      <c r="Y38" s="13"/>
    </row>
    <row r="39" spans="1:25" ht="23.25" customHeight="1">
      <c r="A39" s="23" t="s">
        <v>45</v>
      </c>
      <c r="B39" s="24" t="s">
        <v>128</v>
      </c>
      <c r="C39" s="33">
        <v>-3490.5</v>
      </c>
      <c r="D39" s="26">
        <v>-204</v>
      </c>
      <c r="E39" s="26">
        <v>339.9</v>
      </c>
      <c r="F39" s="17">
        <f t="shared" si="11"/>
        <v>-166.6176470588235</v>
      </c>
      <c r="G39" s="26">
        <v>-216.7</v>
      </c>
      <c r="H39" s="26">
        <v>365.9</v>
      </c>
      <c r="I39" s="17">
        <f t="shared" si="12"/>
        <v>-168.8509460083064</v>
      </c>
      <c r="J39" s="28">
        <f t="shared" si="9"/>
        <v>-420.7</v>
      </c>
      <c r="K39" s="28">
        <f t="shared" si="10"/>
        <v>705.8</v>
      </c>
      <c r="L39" s="17">
        <f t="shared" si="2"/>
        <v>-167.76800570477775</v>
      </c>
      <c r="M39" s="27">
        <f t="shared" si="5"/>
        <v>-1126.5</v>
      </c>
      <c r="N39" s="29">
        <f t="shared" si="6"/>
        <v>-4617</v>
      </c>
      <c r="O39" s="31"/>
      <c r="P39" s="31"/>
      <c r="Q39" s="31"/>
      <c r="R39" s="31"/>
      <c r="S39" s="13"/>
      <c r="T39" s="13"/>
      <c r="U39" s="31"/>
      <c r="V39" s="13"/>
      <c r="W39" s="13"/>
      <c r="X39" s="13"/>
      <c r="Y39" s="13"/>
    </row>
    <row r="40" spans="1:25" ht="24.75" customHeight="1">
      <c r="A40" s="23" t="s">
        <v>46</v>
      </c>
      <c r="B40" s="32" t="s">
        <v>120</v>
      </c>
      <c r="C40" s="25">
        <v>2198.7</v>
      </c>
      <c r="D40" s="26">
        <v>371.7</v>
      </c>
      <c r="E40" s="26">
        <v>509.8</v>
      </c>
      <c r="F40" s="17">
        <f t="shared" si="11"/>
        <v>137.1536185095507</v>
      </c>
      <c r="G40" s="26">
        <v>355.9</v>
      </c>
      <c r="H40" s="26">
        <v>516.9</v>
      </c>
      <c r="I40" s="17">
        <f t="shared" si="12"/>
        <v>145.23742624332678</v>
      </c>
      <c r="J40" s="28">
        <f t="shared" si="9"/>
        <v>727.5999999999999</v>
      </c>
      <c r="K40" s="28">
        <f t="shared" si="10"/>
        <v>1026.7</v>
      </c>
      <c r="L40" s="17">
        <f t="shared" si="2"/>
        <v>141.1077515118197</v>
      </c>
      <c r="M40" s="27">
        <f t="shared" si="5"/>
        <v>-299.10000000000014</v>
      </c>
      <c r="N40" s="29">
        <f t="shared" si="6"/>
        <v>1899.5999999999997</v>
      </c>
      <c r="O40" s="31"/>
      <c r="P40" s="31"/>
      <c r="Q40" s="31"/>
      <c r="R40" s="31"/>
      <c r="S40" s="13"/>
      <c r="T40" s="13"/>
      <c r="U40" s="31"/>
      <c r="V40" s="13"/>
      <c r="W40" s="13"/>
      <c r="X40" s="13"/>
      <c r="Y40" s="13"/>
    </row>
    <row r="41" spans="1:25" s="22" customFormat="1" ht="24.75" customHeight="1">
      <c r="A41" s="23" t="s">
        <v>47</v>
      </c>
      <c r="B41" s="43" t="s">
        <v>121</v>
      </c>
      <c r="C41" s="44">
        <f>SUM(C42:C42)</f>
        <v>187569.5</v>
      </c>
      <c r="D41" s="45">
        <f>SUM(D42:D42)</f>
        <v>49573.3</v>
      </c>
      <c r="E41" s="45">
        <f>SUM(E42:E42)</f>
        <v>53172.3</v>
      </c>
      <c r="F41" s="17">
        <f t="shared" si="11"/>
        <v>107.2599564685022</v>
      </c>
      <c r="G41" s="45">
        <f>SUM(G42:G42)</f>
        <v>50376.8</v>
      </c>
      <c r="H41" s="45">
        <f>SUM(H42:H42)</f>
        <v>49979.4</v>
      </c>
      <c r="I41" s="17">
        <f t="shared" si="12"/>
        <v>99.21114481269156</v>
      </c>
      <c r="J41" s="69">
        <f t="shared" si="9"/>
        <v>99950.1</v>
      </c>
      <c r="K41" s="69">
        <f t="shared" si="10"/>
        <v>103151.70000000001</v>
      </c>
      <c r="L41" s="17">
        <f t="shared" si="2"/>
        <v>103.2031983959996</v>
      </c>
      <c r="M41" s="16">
        <f>M42</f>
        <v>-3201.600000000006</v>
      </c>
      <c r="N41" s="16">
        <f>N42</f>
        <v>184367.89999999997</v>
      </c>
      <c r="O41" s="46"/>
      <c r="P41" s="46"/>
      <c r="Q41" s="46"/>
      <c r="R41" s="46"/>
      <c r="S41" s="21"/>
      <c r="T41" s="21"/>
      <c r="U41" s="19"/>
      <c r="V41" s="21"/>
      <c r="W41" s="21"/>
      <c r="X41" s="21"/>
      <c r="Y41" s="21"/>
    </row>
    <row r="42" spans="1:25" s="22" customFormat="1" ht="24.75" customHeight="1">
      <c r="A42" s="47"/>
      <c r="B42" s="24" t="s">
        <v>122</v>
      </c>
      <c r="C42" s="25">
        <f>187318+251.5</f>
        <v>187569.5</v>
      </c>
      <c r="D42" s="26">
        <f>49423.3+150</f>
        <v>49573.3</v>
      </c>
      <c r="E42" s="26">
        <v>53172.3</v>
      </c>
      <c r="F42" s="17">
        <f>E42/D42*100</f>
        <v>107.2599564685022</v>
      </c>
      <c r="G42" s="26">
        <f>50242.3+134.5</f>
        <v>50376.8</v>
      </c>
      <c r="H42" s="26">
        <f>49907.5+71.9</f>
        <v>49979.4</v>
      </c>
      <c r="I42" s="17">
        <f>H42/G42*100</f>
        <v>99.21114481269156</v>
      </c>
      <c r="J42" s="28">
        <f t="shared" si="9"/>
        <v>99950.1</v>
      </c>
      <c r="K42" s="28">
        <f t="shared" si="10"/>
        <v>103151.70000000001</v>
      </c>
      <c r="L42" s="17">
        <f t="shared" si="2"/>
        <v>103.2031983959996</v>
      </c>
      <c r="M42" s="27">
        <f t="shared" si="5"/>
        <v>-3201.600000000006</v>
      </c>
      <c r="N42" s="29">
        <f t="shared" si="6"/>
        <v>184367.89999999997</v>
      </c>
      <c r="O42" s="31"/>
      <c r="P42" s="31"/>
      <c r="Q42" s="31"/>
      <c r="R42" s="31"/>
      <c r="S42" s="21"/>
      <c r="T42" s="21"/>
      <c r="U42" s="31"/>
      <c r="V42" s="21"/>
      <c r="W42" s="21"/>
      <c r="X42" s="21"/>
      <c r="Y42" s="21"/>
    </row>
    <row r="43" spans="1:25" ht="27.75" customHeight="1">
      <c r="A43" s="23"/>
      <c r="B43" s="43" t="s">
        <v>123</v>
      </c>
      <c r="C43" s="44">
        <f>C41+C7</f>
        <v>172903.3</v>
      </c>
      <c r="D43" s="45">
        <f>D41+D7</f>
        <v>51561.3</v>
      </c>
      <c r="E43" s="45">
        <f>E41+E7</f>
        <v>60324.600000000006</v>
      </c>
      <c r="F43" s="17">
        <f>E43/D43*100</f>
        <v>116.99588644972101</v>
      </c>
      <c r="G43" s="45">
        <f>G41+G7</f>
        <v>51992.9</v>
      </c>
      <c r="H43" s="45">
        <f>H41+H7</f>
        <v>56817.8</v>
      </c>
      <c r="I43" s="17">
        <f>H43/G43*100</f>
        <v>109.2799209122784</v>
      </c>
      <c r="J43" s="69">
        <f t="shared" si="9"/>
        <v>103554.20000000001</v>
      </c>
      <c r="K43" s="69">
        <f t="shared" si="10"/>
        <v>117142.40000000001</v>
      </c>
      <c r="L43" s="17">
        <f>K43/J43*100</f>
        <v>113.12182412688234</v>
      </c>
      <c r="M43" s="45">
        <f>M41+M7</f>
        <v>-13588.200000000006</v>
      </c>
      <c r="N43" s="45">
        <f>N41+N7</f>
        <v>159315.09999999998</v>
      </c>
      <c r="O43" s="46"/>
      <c r="P43" s="46"/>
      <c r="Q43" s="46"/>
      <c r="R43" s="46"/>
      <c r="S43" s="46"/>
      <c r="T43" s="46"/>
      <c r="U43" s="46"/>
      <c r="V43" s="13"/>
      <c r="W43" s="13"/>
      <c r="X43" s="13"/>
      <c r="Y43" s="13"/>
    </row>
    <row r="44" spans="1:25" ht="27.75" customHeight="1">
      <c r="A44" s="48"/>
      <c r="B44" s="49"/>
      <c r="C44" s="50"/>
      <c r="D44" s="46"/>
      <c r="E44" s="46"/>
      <c r="F44" s="20"/>
      <c r="G44" s="46"/>
      <c r="H44" s="46"/>
      <c r="I44" s="20"/>
      <c r="J44" s="46"/>
      <c r="K44" s="46"/>
      <c r="L44" s="20"/>
      <c r="M44" s="20"/>
      <c r="N44" s="46"/>
      <c r="O44" s="46"/>
      <c r="P44" s="46"/>
      <c r="Q44" s="46"/>
      <c r="R44" s="46"/>
      <c r="S44" s="46"/>
      <c r="T44" s="46"/>
      <c r="U44" s="46"/>
      <c r="V44" s="13"/>
      <c r="W44" s="13"/>
      <c r="X44" s="13"/>
      <c r="Y44" s="13"/>
    </row>
    <row r="45" spans="1:25" s="22" customFormat="1" ht="19.5" customHeight="1" hidden="1">
      <c r="A45" s="51"/>
      <c r="B45" s="22" t="s">
        <v>124</v>
      </c>
      <c r="C45" s="52"/>
      <c r="D45" s="19"/>
      <c r="E45" s="19"/>
      <c r="F45" s="53"/>
      <c r="G45" s="19"/>
      <c r="H45" s="19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19"/>
      <c r="T45" s="54"/>
      <c r="U45" s="54"/>
      <c r="V45" s="55"/>
      <c r="W45" s="54"/>
      <c r="Y45" s="54"/>
    </row>
    <row r="46" spans="1:25" s="22" customFormat="1" ht="7.5" customHeight="1" hidden="1">
      <c r="A46" s="21"/>
      <c r="C46" s="52"/>
      <c r="D46" s="19"/>
      <c r="E46" s="19"/>
      <c r="F46" s="53"/>
      <c r="G46" s="19"/>
      <c r="H46" s="19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19"/>
      <c r="T46" s="54"/>
      <c r="U46" s="54"/>
      <c r="V46" s="55"/>
      <c r="W46" s="54"/>
      <c r="Y46" s="54"/>
    </row>
    <row r="47" spans="1:25" s="22" customFormat="1" ht="19.5" customHeight="1" hidden="1">
      <c r="A47" s="51"/>
      <c r="B47" s="22" t="s">
        <v>125</v>
      </c>
      <c r="C47" s="52"/>
      <c r="D47" s="19"/>
      <c r="E47" s="19"/>
      <c r="F47" s="53"/>
      <c r="G47" s="19"/>
      <c r="H47" s="19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19"/>
      <c r="T47" s="54"/>
      <c r="U47" s="54"/>
      <c r="V47" s="55"/>
      <c r="W47" s="54"/>
      <c r="Y47" s="54"/>
    </row>
    <row r="48" spans="1:25" ht="24.75" customHeight="1">
      <c r="A48" s="6"/>
      <c r="C48" s="56"/>
      <c r="D48" s="57"/>
      <c r="E48" s="57"/>
      <c r="F48" s="53"/>
      <c r="G48" s="57"/>
      <c r="H48" s="57"/>
      <c r="I48" s="184"/>
      <c r="J48" s="57"/>
      <c r="K48" s="57"/>
      <c r="L48" s="184"/>
      <c r="M48" s="57"/>
      <c r="N48" s="57"/>
      <c r="O48" s="57"/>
      <c r="P48" s="57"/>
      <c r="Q48" s="57"/>
      <c r="R48" s="57"/>
      <c r="S48" s="57"/>
      <c r="T48" s="8"/>
      <c r="U48" s="8"/>
      <c r="V48" s="58"/>
      <c r="W48" s="8"/>
      <c r="Y48" s="8"/>
    </row>
    <row r="49" spans="1:14" s="3" customFormat="1" ht="96.75" customHeight="1">
      <c r="A49" s="1"/>
      <c r="B49" s="213" t="s">
        <v>140</v>
      </c>
      <c r="C49" s="213"/>
      <c r="D49" s="213"/>
      <c r="E49" s="213"/>
      <c r="F49" s="213"/>
      <c r="G49" s="2"/>
      <c r="H49" s="2"/>
      <c r="I49" s="185"/>
      <c r="J49" s="2"/>
      <c r="K49" s="2"/>
      <c r="L49" s="185"/>
      <c r="M49" s="215" t="s">
        <v>139</v>
      </c>
      <c r="N49" s="215"/>
    </row>
    <row r="50" spans="1:14" ht="73.5" customHeight="1" hidden="1">
      <c r="A50" s="214" t="s">
        <v>136</v>
      </c>
      <c r="B50" s="214"/>
      <c r="C50" s="59"/>
      <c r="D50" s="59"/>
      <c r="E50" s="59"/>
      <c r="F50" s="59"/>
      <c r="G50" s="60"/>
      <c r="H50" s="60"/>
      <c r="I50" s="61"/>
      <c r="J50" s="60"/>
      <c r="K50" s="60"/>
      <c r="L50" s="61"/>
      <c r="N50" s="62" t="s">
        <v>137</v>
      </c>
    </row>
    <row r="51" spans="15:25" ht="24.75" customHeight="1"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3" spans="15:25" ht="24.75" customHeight="1"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5:25" ht="24.75" customHeight="1"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5:25" ht="24.75" customHeight="1"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5:25" ht="24.75" customHeight="1"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5:25" ht="24.75" customHeight="1"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5:25" ht="18.75"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5:25" ht="18.75"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5:25" ht="18.75"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5:25" ht="18.75"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5:25" ht="18.75"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5:25" ht="18.75"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5:25" ht="18.75"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5:25" ht="18.75"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5:25" ht="18.75"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5:25" ht="18.75"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5:25" ht="18.75"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5:25" ht="18.75"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5:25" ht="18.75"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5:25" ht="18.75"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5:25" ht="18.75"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5:25" ht="18.75"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5:25" ht="18.75"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5:25" ht="18.75"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5:25" ht="18.75"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5:25" ht="18.75"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5:25" ht="18.75"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5:25" ht="18.75"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5:25" ht="18.75"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5:25" ht="18.75"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5:25" ht="18.75"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5:25" ht="18.75"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5:25" ht="18.75"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5:25" ht="18.75"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5:25" ht="18.75"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5:25" ht="18.75"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5:25" ht="18.75"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5:25" ht="18.75"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5:25" ht="18.75"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5:25" ht="18.75"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5:25" ht="18.75"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5:25" ht="18.75"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</sheetData>
  <sheetProtection/>
  <mergeCells count="13">
    <mergeCell ref="A50:B50"/>
    <mergeCell ref="M49:N49"/>
    <mergeCell ref="I1:N1"/>
    <mergeCell ref="B4:F4"/>
    <mergeCell ref="B2:N2"/>
    <mergeCell ref="B3:N3"/>
    <mergeCell ref="C29:L29"/>
    <mergeCell ref="D5:F5"/>
    <mergeCell ref="G5:I5"/>
    <mergeCell ref="J5:L5"/>
    <mergeCell ref="M5:M6"/>
    <mergeCell ref="N5:N6"/>
    <mergeCell ref="B49:F49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view="pageBreakPreview" zoomScale="78" zoomScaleNormal="50" zoomScaleSheetLayoutView="78" zoomScalePageLayoutView="0" workbookViewId="0" topLeftCell="A1">
      <pane xSplit="6" ySplit="8" topLeftCell="J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4" activeCellId="2" sqref="A1:N16384 A1:N16384 A1:N16384"/>
    </sheetView>
  </sheetViews>
  <sheetFormatPr defaultColWidth="7.875" defaultRowHeight="12.75"/>
  <cols>
    <col min="1" max="1" width="6.375" style="8" customWidth="1"/>
    <col min="2" max="2" width="51.625" style="6" customWidth="1"/>
    <col min="3" max="3" width="17.375" style="63" customWidth="1"/>
    <col min="4" max="4" width="16.625" style="6" customWidth="1"/>
    <col min="5" max="5" width="16.125" style="6" customWidth="1"/>
    <col min="6" max="6" width="12.125" style="22" customWidth="1"/>
    <col min="7" max="7" width="14.75390625" style="6" customWidth="1"/>
    <col min="8" max="8" width="16.00390625" style="6" customWidth="1"/>
    <col min="9" max="9" width="11.125" style="22" customWidth="1"/>
    <col min="10" max="11" width="14.75390625" style="6" customWidth="1"/>
    <col min="12" max="12" width="11.125" style="22" customWidth="1"/>
    <col min="13" max="13" width="16.75390625" style="6" customWidth="1"/>
    <col min="14" max="14" width="18.25390625" style="6" customWidth="1"/>
    <col min="15" max="15" width="9.125" style="6" customWidth="1"/>
    <col min="16" max="16" width="18.875" style="6" customWidth="1"/>
    <col min="17" max="17" width="9.125" style="6" customWidth="1"/>
    <col min="18" max="16384" width="7.875" style="6" customWidth="1"/>
  </cols>
  <sheetData>
    <row r="1" spans="9:14" ht="18.75">
      <c r="I1" s="216" t="s">
        <v>51</v>
      </c>
      <c r="J1" s="216"/>
      <c r="K1" s="216"/>
      <c r="L1" s="216"/>
      <c r="M1" s="216"/>
      <c r="N1" s="216"/>
    </row>
    <row r="2" spans="2:14" ht="18.75">
      <c r="B2" s="218" t="s">
        <v>55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ht="18.75">
      <c r="B3" s="197" t="s">
        <v>144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4" ht="18.75">
      <c r="B4" s="222"/>
      <c r="C4" s="222"/>
      <c r="D4" s="222"/>
      <c r="E4" s="222"/>
      <c r="F4" s="222"/>
      <c r="N4" s="9" t="s">
        <v>7</v>
      </c>
    </row>
    <row r="5" spans="1:14" ht="58.5" customHeight="1">
      <c r="A5" s="64" t="s">
        <v>56</v>
      </c>
      <c r="B5" s="10"/>
      <c r="C5" s="159" t="s">
        <v>1</v>
      </c>
      <c r="D5" s="190" t="s">
        <v>146</v>
      </c>
      <c r="E5" s="191"/>
      <c r="F5" s="192"/>
      <c r="G5" s="210" t="s">
        <v>147</v>
      </c>
      <c r="H5" s="211"/>
      <c r="I5" s="212"/>
      <c r="J5" s="190" t="s">
        <v>148</v>
      </c>
      <c r="K5" s="191"/>
      <c r="L5" s="192"/>
      <c r="M5" s="193" t="s">
        <v>149</v>
      </c>
      <c r="N5" s="193" t="s">
        <v>145</v>
      </c>
    </row>
    <row r="6" spans="1:14" ht="30" customHeight="1">
      <c r="A6" s="65" t="s">
        <v>57</v>
      </c>
      <c r="B6" s="12" t="s">
        <v>89</v>
      </c>
      <c r="C6" s="160" t="s">
        <v>143</v>
      </c>
      <c r="D6" s="11" t="s">
        <v>150</v>
      </c>
      <c r="E6" s="11" t="s">
        <v>91</v>
      </c>
      <c r="F6" s="66" t="s">
        <v>0</v>
      </c>
      <c r="G6" s="11" t="s">
        <v>150</v>
      </c>
      <c r="H6" s="11" t="s">
        <v>91</v>
      </c>
      <c r="I6" s="66" t="s">
        <v>0</v>
      </c>
      <c r="J6" s="11" t="s">
        <v>150</v>
      </c>
      <c r="K6" s="11" t="s">
        <v>91</v>
      </c>
      <c r="L6" s="66" t="s">
        <v>0</v>
      </c>
      <c r="M6" s="194"/>
      <c r="N6" s="194"/>
    </row>
    <row r="7" spans="1:17" s="22" customFormat="1" ht="36" customHeight="1">
      <c r="A7" s="66"/>
      <c r="B7" s="67" t="s">
        <v>9</v>
      </c>
      <c r="C7" s="68">
        <f>SUM(C8:C40)</f>
        <v>1041.9</v>
      </c>
      <c r="D7" s="17">
        <f>SUM(D8:D40)</f>
        <v>511.20000000000005</v>
      </c>
      <c r="E7" s="17">
        <f>SUM(E8:E40)</f>
        <v>675.9</v>
      </c>
      <c r="F7" s="17">
        <f aca="true" t="shared" si="0" ref="F7:F43">E7/D7*100</f>
        <v>132.2183098591549</v>
      </c>
      <c r="G7" s="17">
        <f>SUM(G8:G40)</f>
        <v>534</v>
      </c>
      <c r="H7" s="17">
        <f>SUM(H8:H40)</f>
        <v>184.5</v>
      </c>
      <c r="I7" s="17">
        <f aca="true" t="shared" si="1" ref="I7:I18">H7/G7*100</f>
        <v>34.55056179775281</v>
      </c>
      <c r="J7" s="68">
        <f>SUM(J8:J40)</f>
        <v>1045.2</v>
      </c>
      <c r="K7" s="68">
        <f>SUM(K8:K40)</f>
        <v>860.4</v>
      </c>
      <c r="L7" s="17">
        <f aca="true" t="shared" si="2" ref="L7:L42">K7/J7*100</f>
        <v>82.31917336394949</v>
      </c>
      <c r="M7" s="17">
        <f>SUM(M8:M40)</f>
        <v>184.80000000000004</v>
      </c>
      <c r="N7" s="17">
        <f>SUM(N8:N40)</f>
        <v>1226.7</v>
      </c>
      <c r="O7" s="19">
        <f>SUM(M8:M40)</f>
        <v>184.80000000000004</v>
      </c>
      <c r="P7" s="19">
        <f>SUM(N8:N40)</f>
        <v>1226.7</v>
      </c>
      <c r="Q7" s="18"/>
    </row>
    <row r="8" spans="1:17" ht="24.75" customHeight="1">
      <c r="A8" s="71">
        <v>1</v>
      </c>
      <c r="B8" s="72" t="s">
        <v>61</v>
      </c>
      <c r="C8" s="73">
        <v>68.8</v>
      </c>
      <c r="D8" s="26">
        <v>46.6</v>
      </c>
      <c r="E8" s="26">
        <v>0</v>
      </c>
      <c r="F8" s="17">
        <f>E8/D8*100</f>
        <v>0</v>
      </c>
      <c r="G8" s="26">
        <v>48.4</v>
      </c>
      <c r="H8" s="26">
        <v>68.8</v>
      </c>
      <c r="I8" s="17">
        <f t="shared" si="1"/>
        <v>142.1487603305785</v>
      </c>
      <c r="J8" s="28">
        <f>D8+G8</f>
        <v>95</v>
      </c>
      <c r="K8" s="28">
        <f>E8+H8</f>
        <v>68.8</v>
      </c>
      <c r="L8" s="17">
        <f t="shared" si="2"/>
        <v>72.42105263157895</v>
      </c>
      <c r="M8" s="28">
        <f>J8-K8</f>
        <v>26.200000000000003</v>
      </c>
      <c r="N8" s="45">
        <f>C8+J8-K8</f>
        <v>95.00000000000001</v>
      </c>
      <c r="O8" s="70"/>
      <c r="P8" s="30"/>
      <c r="Q8" s="30"/>
    </row>
    <row r="9" spans="1:17" ht="24.75" customHeight="1">
      <c r="A9" s="71">
        <v>2</v>
      </c>
      <c r="B9" s="74" t="s">
        <v>81</v>
      </c>
      <c r="C9" s="73">
        <v>14.8</v>
      </c>
      <c r="D9" s="26">
        <v>7.9</v>
      </c>
      <c r="E9" s="26">
        <v>7.7</v>
      </c>
      <c r="F9" s="17">
        <f>E9/D9*100</f>
        <v>97.46835443037975</v>
      </c>
      <c r="G9" s="26">
        <v>8</v>
      </c>
      <c r="H9" s="26"/>
      <c r="I9" s="17">
        <f t="shared" si="1"/>
        <v>0</v>
      </c>
      <c r="J9" s="28">
        <f aca="true" t="shared" si="3" ref="J9:J28">D9+G9</f>
        <v>15.9</v>
      </c>
      <c r="K9" s="28">
        <f aca="true" t="shared" si="4" ref="K9:K28">E9+H9</f>
        <v>7.7</v>
      </c>
      <c r="L9" s="17">
        <f t="shared" si="2"/>
        <v>48.42767295597484</v>
      </c>
      <c r="M9" s="28">
        <f aca="true" t="shared" si="5" ref="M9:M42">J9-K9</f>
        <v>8.2</v>
      </c>
      <c r="N9" s="45">
        <f aca="true" t="shared" si="6" ref="N9:N42">C9+J9-K9</f>
        <v>23.000000000000004</v>
      </c>
      <c r="O9" s="75"/>
      <c r="P9" s="30"/>
      <c r="Q9" s="30"/>
    </row>
    <row r="10" spans="1:17" ht="24.75" customHeight="1">
      <c r="A10" s="71">
        <v>3</v>
      </c>
      <c r="B10" s="76" t="s">
        <v>135</v>
      </c>
      <c r="C10" s="73">
        <v>2.2</v>
      </c>
      <c r="D10" s="26">
        <v>1.3</v>
      </c>
      <c r="E10" s="26">
        <v>2.2</v>
      </c>
      <c r="F10" s="17">
        <f>E10/D10*100</f>
        <v>169.23076923076923</v>
      </c>
      <c r="G10" s="26">
        <v>2.8</v>
      </c>
      <c r="H10" s="26">
        <v>0</v>
      </c>
      <c r="I10" s="69">
        <f t="shared" si="1"/>
        <v>0</v>
      </c>
      <c r="J10" s="28">
        <f t="shared" si="3"/>
        <v>4.1</v>
      </c>
      <c r="K10" s="28">
        <f t="shared" si="4"/>
        <v>2.2</v>
      </c>
      <c r="L10" s="17">
        <f t="shared" si="2"/>
        <v>53.658536585365866</v>
      </c>
      <c r="M10" s="28">
        <f t="shared" si="5"/>
        <v>1.8999999999999995</v>
      </c>
      <c r="N10" s="45">
        <f t="shared" si="6"/>
        <v>4.1</v>
      </c>
      <c r="O10" s="70"/>
      <c r="P10" s="30"/>
      <c r="Q10" s="30"/>
    </row>
    <row r="11" spans="1:17" ht="24.75" customHeight="1">
      <c r="A11" s="71">
        <v>4</v>
      </c>
      <c r="B11" s="72" t="s">
        <v>63</v>
      </c>
      <c r="C11" s="73">
        <v>69.2</v>
      </c>
      <c r="D11" s="26">
        <v>10.6</v>
      </c>
      <c r="E11" s="26">
        <v>0</v>
      </c>
      <c r="F11" s="17">
        <f>E11/D11*100</f>
        <v>0</v>
      </c>
      <c r="G11" s="26">
        <v>0</v>
      </c>
      <c r="H11" s="26">
        <v>50.9</v>
      </c>
      <c r="I11" s="186" t="e">
        <f>H11/G11*100</f>
        <v>#DIV/0!</v>
      </c>
      <c r="J11" s="28">
        <f t="shared" si="3"/>
        <v>10.6</v>
      </c>
      <c r="K11" s="28">
        <f t="shared" si="4"/>
        <v>50.9</v>
      </c>
      <c r="L11" s="17">
        <f t="shared" si="2"/>
        <v>480.188679245283</v>
      </c>
      <c r="M11" s="28">
        <f t="shared" si="5"/>
        <v>-40.3</v>
      </c>
      <c r="N11" s="45">
        <f t="shared" si="6"/>
        <v>28.9</v>
      </c>
      <c r="O11" s="70"/>
      <c r="P11" s="30"/>
      <c r="Q11" s="30"/>
    </row>
    <row r="12" spans="1:17" ht="24.75" customHeight="1">
      <c r="A12" s="71">
        <v>5</v>
      </c>
      <c r="B12" s="72" t="s">
        <v>64</v>
      </c>
      <c r="C12" s="73">
        <v>8.5</v>
      </c>
      <c r="D12" s="26">
        <v>4.6</v>
      </c>
      <c r="E12" s="26">
        <v>8.2</v>
      </c>
      <c r="F12" s="17">
        <f>E12/D12*100</f>
        <v>178.26086956521738</v>
      </c>
      <c r="G12" s="26">
        <v>4.4</v>
      </c>
      <c r="H12" s="26">
        <v>0</v>
      </c>
      <c r="I12" s="17">
        <f>H12/G12*100</f>
        <v>0</v>
      </c>
      <c r="J12" s="28">
        <f t="shared" si="3"/>
        <v>9</v>
      </c>
      <c r="K12" s="28">
        <f t="shared" si="4"/>
        <v>8.2</v>
      </c>
      <c r="L12" s="17">
        <f t="shared" si="2"/>
        <v>91.1111111111111</v>
      </c>
      <c r="M12" s="28">
        <f t="shared" si="5"/>
        <v>0.8000000000000007</v>
      </c>
      <c r="N12" s="45">
        <f t="shared" si="6"/>
        <v>9.3</v>
      </c>
      <c r="O12" s="70"/>
      <c r="P12" s="30"/>
      <c r="Q12" s="30"/>
    </row>
    <row r="13" spans="1:17" ht="24.75" customHeight="1">
      <c r="A13" s="71">
        <v>6</v>
      </c>
      <c r="B13" s="72" t="s">
        <v>65</v>
      </c>
      <c r="C13" s="73">
        <v>28.7</v>
      </c>
      <c r="D13" s="26">
        <v>14.8</v>
      </c>
      <c r="E13" s="26">
        <v>0</v>
      </c>
      <c r="F13" s="17">
        <f t="shared" si="0"/>
        <v>0</v>
      </c>
      <c r="G13" s="26">
        <v>13.1</v>
      </c>
      <c r="H13" s="26">
        <v>0</v>
      </c>
      <c r="I13" s="69">
        <f t="shared" si="1"/>
        <v>0</v>
      </c>
      <c r="J13" s="28">
        <f t="shared" si="3"/>
        <v>27.9</v>
      </c>
      <c r="K13" s="28">
        <f t="shared" si="4"/>
        <v>0</v>
      </c>
      <c r="L13" s="17">
        <f t="shared" si="2"/>
        <v>0</v>
      </c>
      <c r="M13" s="28">
        <f t="shared" si="5"/>
        <v>27.9</v>
      </c>
      <c r="N13" s="45">
        <f t="shared" si="6"/>
        <v>56.599999999999994</v>
      </c>
      <c r="O13" s="70"/>
      <c r="P13" s="30"/>
      <c r="Q13" s="30"/>
    </row>
    <row r="14" spans="1:17" ht="24.75" customHeight="1">
      <c r="A14" s="71">
        <v>7</v>
      </c>
      <c r="B14" s="72" t="s">
        <v>66</v>
      </c>
      <c r="C14" s="73">
        <v>2.1</v>
      </c>
      <c r="D14" s="26">
        <v>2.9</v>
      </c>
      <c r="E14" s="26">
        <v>0</v>
      </c>
      <c r="F14" s="17">
        <f t="shared" si="0"/>
        <v>0</v>
      </c>
      <c r="G14" s="26">
        <v>2.8</v>
      </c>
      <c r="H14" s="26">
        <v>0</v>
      </c>
      <c r="I14" s="17">
        <f t="shared" si="1"/>
        <v>0</v>
      </c>
      <c r="J14" s="28">
        <f t="shared" si="3"/>
        <v>5.699999999999999</v>
      </c>
      <c r="K14" s="28">
        <f t="shared" si="4"/>
        <v>0</v>
      </c>
      <c r="L14" s="17">
        <f t="shared" si="2"/>
        <v>0</v>
      </c>
      <c r="M14" s="28">
        <f t="shared" si="5"/>
        <v>5.699999999999999</v>
      </c>
      <c r="N14" s="45">
        <f t="shared" si="6"/>
        <v>7.799999999999999</v>
      </c>
      <c r="O14" s="70"/>
      <c r="P14" s="30"/>
      <c r="Q14" s="30"/>
    </row>
    <row r="15" spans="1:17" ht="24.75" customHeight="1">
      <c r="A15" s="71">
        <v>8</v>
      </c>
      <c r="B15" s="72" t="s">
        <v>67</v>
      </c>
      <c r="C15" s="73">
        <v>56.1</v>
      </c>
      <c r="D15" s="26">
        <v>20.9</v>
      </c>
      <c r="E15" s="26">
        <v>24.5</v>
      </c>
      <c r="F15" s="17">
        <f t="shared" si="0"/>
        <v>117.22488038277513</v>
      </c>
      <c r="G15" s="26">
        <v>33.2</v>
      </c>
      <c r="H15" s="26">
        <v>0</v>
      </c>
      <c r="I15" s="69">
        <f t="shared" si="1"/>
        <v>0</v>
      </c>
      <c r="J15" s="28">
        <f t="shared" si="3"/>
        <v>54.1</v>
      </c>
      <c r="K15" s="28">
        <f t="shared" si="4"/>
        <v>24.5</v>
      </c>
      <c r="L15" s="17">
        <f t="shared" si="2"/>
        <v>45.28650646950093</v>
      </c>
      <c r="M15" s="28">
        <f t="shared" si="5"/>
        <v>29.6</v>
      </c>
      <c r="N15" s="45">
        <f t="shared" si="6"/>
        <v>85.7</v>
      </c>
      <c r="O15" s="70"/>
      <c r="P15" s="30"/>
      <c r="Q15" s="30"/>
    </row>
    <row r="16" spans="1:17" ht="24.75" customHeight="1">
      <c r="A16" s="71">
        <v>9</v>
      </c>
      <c r="B16" s="72" t="s">
        <v>68</v>
      </c>
      <c r="C16" s="73">
        <v>1</v>
      </c>
      <c r="D16" s="26">
        <v>0.2</v>
      </c>
      <c r="E16" s="26">
        <v>1.1</v>
      </c>
      <c r="F16" s="17">
        <f t="shared" si="0"/>
        <v>550</v>
      </c>
      <c r="G16" s="26">
        <v>0.6</v>
      </c>
      <c r="H16" s="26">
        <v>0</v>
      </c>
      <c r="I16" s="17">
        <f t="shared" si="1"/>
        <v>0</v>
      </c>
      <c r="J16" s="28">
        <f t="shared" si="3"/>
        <v>0.8</v>
      </c>
      <c r="K16" s="28">
        <f t="shared" si="4"/>
        <v>1.1</v>
      </c>
      <c r="L16" s="17">
        <f t="shared" si="2"/>
        <v>137.5</v>
      </c>
      <c r="M16" s="28">
        <f t="shared" si="5"/>
        <v>-0.30000000000000004</v>
      </c>
      <c r="N16" s="45">
        <f t="shared" si="6"/>
        <v>0.7</v>
      </c>
      <c r="O16" s="70"/>
      <c r="P16" s="30"/>
      <c r="Q16" s="30"/>
    </row>
    <row r="17" spans="1:17" ht="24.75" customHeight="1">
      <c r="A17" s="71">
        <v>10</v>
      </c>
      <c r="B17" s="77" t="s">
        <v>2</v>
      </c>
      <c r="C17" s="73">
        <f>43.9+18.2</f>
        <v>62.099999999999994</v>
      </c>
      <c r="D17" s="26">
        <f>15.3+5.9</f>
        <v>21.200000000000003</v>
      </c>
      <c r="E17" s="26">
        <f>21.9+12.2</f>
        <v>34.099999999999994</v>
      </c>
      <c r="F17" s="17">
        <f t="shared" si="0"/>
        <v>160.84905660377353</v>
      </c>
      <c r="G17" s="26">
        <f>20.6+5.9</f>
        <v>26.5</v>
      </c>
      <c r="H17" s="26">
        <v>27.8</v>
      </c>
      <c r="I17" s="17">
        <f t="shared" si="1"/>
        <v>104.90566037735849</v>
      </c>
      <c r="J17" s="28">
        <f t="shared" si="3"/>
        <v>47.7</v>
      </c>
      <c r="K17" s="28">
        <f t="shared" si="4"/>
        <v>61.89999999999999</v>
      </c>
      <c r="L17" s="17">
        <f t="shared" si="2"/>
        <v>129.76939203354294</v>
      </c>
      <c r="M17" s="28">
        <f t="shared" si="5"/>
        <v>-14.199999999999989</v>
      </c>
      <c r="N17" s="45">
        <f t="shared" si="6"/>
        <v>47.900000000000006</v>
      </c>
      <c r="O17" s="70"/>
      <c r="P17" s="30"/>
      <c r="Q17" s="30"/>
    </row>
    <row r="18" spans="1:17" ht="24.75" customHeight="1">
      <c r="A18" s="71">
        <v>11</v>
      </c>
      <c r="B18" s="77" t="s">
        <v>69</v>
      </c>
      <c r="C18" s="73">
        <v>6.5</v>
      </c>
      <c r="D18" s="26">
        <v>6.3</v>
      </c>
      <c r="E18" s="26">
        <v>6.5</v>
      </c>
      <c r="F18" s="17">
        <f t="shared" si="0"/>
        <v>103.17460317460319</v>
      </c>
      <c r="G18" s="26">
        <v>6</v>
      </c>
      <c r="H18" s="26">
        <v>0</v>
      </c>
      <c r="I18" s="17">
        <f t="shared" si="1"/>
        <v>0</v>
      </c>
      <c r="J18" s="28">
        <f t="shared" si="3"/>
        <v>12.3</v>
      </c>
      <c r="K18" s="28">
        <f t="shared" si="4"/>
        <v>6.5</v>
      </c>
      <c r="L18" s="17">
        <f t="shared" si="2"/>
        <v>52.84552845528455</v>
      </c>
      <c r="M18" s="28">
        <f t="shared" si="5"/>
        <v>5.800000000000001</v>
      </c>
      <c r="N18" s="45">
        <f t="shared" si="6"/>
        <v>12.3</v>
      </c>
      <c r="O18" s="70"/>
      <c r="P18" s="30"/>
      <c r="Q18" s="30"/>
    </row>
    <row r="19" spans="1:17" ht="24.75" customHeight="1">
      <c r="A19" s="71">
        <v>12</v>
      </c>
      <c r="B19" s="72" t="s">
        <v>70</v>
      </c>
      <c r="C19" s="73">
        <v>49.5</v>
      </c>
      <c r="D19" s="26">
        <v>13.8</v>
      </c>
      <c r="E19" s="26">
        <v>49.5</v>
      </c>
      <c r="F19" s="17">
        <f t="shared" si="0"/>
        <v>358.69565217391306</v>
      </c>
      <c r="G19" s="26">
        <v>14.5</v>
      </c>
      <c r="H19" s="26">
        <v>0</v>
      </c>
      <c r="I19" s="69">
        <f aca="true" t="shared" si="7" ref="I19:I24">H19/G19*100</f>
        <v>0</v>
      </c>
      <c r="J19" s="28">
        <f t="shared" si="3"/>
        <v>28.3</v>
      </c>
      <c r="K19" s="28">
        <f t="shared" si="4"/>
        <v>49.5</v>
      </c>
      <c r="L19" s="17">
        <f t="shared" si="2"/>
        <v>174.91166077738515</v>
      </c>
      <c r="M19" s="28">
        <f t="shared" si="5"/>
        <v>-21.2</v>
      </c>
      <c r="N19" s="45">
        <f t="shared" si="6"/>
        <v>28.299999999999997</v>
      </c>
      <c r="O19" s="70"/>
      <c r="P19" s="30"/>
      <c r="Q19" s="30"/>
    </row>
    <row r="20" spans="1:17" ht="24.75" customHeight="1">
      <c r="A20" s="71">
        <v>13</v>
      </c>
      <c r="B20" s="77" t="s">
        <v>71</v>
      </c>
      <c r="C20" s="73">
        <v>19.7</v>
      </c>
      <c r="D20" s="26">
        <v>0</v>
      </c>
      <c r="E20" s="26">
        <v>19.7</v>
      </c>
      <c r="F20" s="17">
        <v>0</v>
      </c>
      <c r="G20" s="26">
        <v>6.2</v>
      </c>
      <c r="H20" s="26">
        <v>2.1</v>
      </c>
      <c r="I20" s="69">
        <f t="shared" si="7"/>
        <v>33.87096774193549</v>
      </c>
      <c r="J20" s="28">
        <f t="shared" si="3"/>
        <v>6.2</v>
      </c>
      <c r="K20" s="28">
        <f t="shared" si="4"/>
        <v>21.8</v>
      </c>
      <c r="L20" s="17">
        <f t="shared" si="2"/>
        <v>351.61290322580646</v>
      </c>
      <c r="M20" s="28">
        <f t="shared" si="5"/>
        <v>-15.600000000000001</v>
      </c>
      <c r="N20" s="45">
        <f t="shared" si="6"/>
        <v>4.099999999999998</v>
      </c>
      <c r="O20" s="70"/>
      <c r="P20" s="30"/>
      <c r="Q20" s="30"/>
    </row>
    <row r="21" spans="1:17" ht="24.75" customHeight="1">
      <c r="A21" s="71">
        <v>14</v>
      </c>
      <c r="B21" s="77" t="s">
        <v>72</v>
      </c>
      <c r="C21" s="73">
        <v>1.9</v>
      </c>
      <c r="D21" s="26">
        <v>1</v>
      </c>
      <c r="E21" s="26">
        <v>1.6</v>
      </c>
      <c r="F21" s="68">
        <f t="shared" si="0"/>
        <v>160</v>
      </c>
      <c r="G21" s="26">
        <v>0.9</v>
      </c>
      <c r="H21" s="26">
        <v>0</v>
      </c>
      <c r="I21" s="69">
        <f t="shared" si="7"/>
        <v>0</v>
      </c>
      <c r="J21" s="28">
        <f t="shared" si="3"/>
        <v>1.9</v>
      </c>
      <c r="K21" s="28">
        <f t="shared" si="4"/>
        <v>1.6</v>
      </c>
      <c r="L21" s="17">
        <f t="shared" si="2"/>
        <v>84.21052631578948</v>
      </c>
      <c r="M21" s="28">
        <f t="shared" si="5"/>
        <v>0.2999999999999998</v>
      </c>
      <c r="N21" s="45">
        <f t="shared" si="6"/>
        <v>2.1999999999999997</v>
      </c>
      <c r="O21" s="70"/>
      <c r="P21" s="30"/>
      <c r="Q21" s="30"/>
    </row>
    <row r="22" spans="1:17" ht="24.75" customHeight="1">
      <c r="A22" s="71">
        <v>15</v>
      </c>
      <c r="B22" s="77" t="s">
        <v>50</v>
      </c>
      <c r="C22" s="73">
        <v>11.7</v>
      </c>
      <c r="D22" s="26">
        <v>1.8</v>
      </c>
      <c r="E22" s="26">
        <v>10</v>
      </c>
      <c r="F22" s="17">
        <f t="shared" si="0"/>
        <v>555.5555555555555</v>
      </c>
      <c r="G22" s="26">
        <v>11.2</v>
      </c>
      <c r="H22" s="26">
        <v>0.4</v>
      </c>
      <c r="I22" s="69">
        <f t="shared" si="7"/>
        <v>3.571428571428572</v>
      </c>
      <c r="J22" s="28">
        <f t="shared" si="3"/>
        <v>13</v>
      </c>
      <c r="K22" s="28">
        <f t="shared" si="4"/>
        <v>10.4</v>
      </c>
      <c r="L22" s="17">
        <f t="shared" si="2"/>
        <v>80</v>
      </c>
      <c r="M22" s="28">
        <f t="shared" si="5"/>
        <v>2.5999999999999996</v>
      </c>
      <c r="N22" s="45">
        <f t="shared" si="6"/>
        <v>14.299999999999999</v>
      </c>
      <c r="O22" s="70"/>
      <c r="P22" s="30"/>
      <c r="Q22" s="30"/>
    </row>
    <row r="23" spans="1:17" ht="24.75" customHeight="1">
      <c r="A23" s="71">
        <v>16</v>
      </c>
      <c r="B23" s="77" t="s">
        <v>13</v>
      </c>
      <c r="C23" s="73">
        <v>2.1</v>
      </c>
      <c r="D23" s="26">
        <v>1</v>
      </c>
      <c r="E23" s="26">
        <v>2.1</v>
      </c>
      <c r="F23" s="17">
        <v>584.2</v>
      </c>
      <c r="G23" s="26">
        <v>1.1</v>
      </c>
      <c r="H23" s="26">
        <v>0</v>
      </c>
      <c r="I23" s="17">
        <f t="shared" si="7"/>
        <v>0</v>
      </c>
      <c r="J23" s="28">
        <f t="shared" si="3"/>
        <v>2.1</v>
      </c>
      <c r="K23" s="28">
        <f t="shared" si="4"/>
        <v>2.1</v>
      </c>
      <c r="L23" s="17">
        <f t="shared" si="2"/>
        <v>100</v>
      </c>
      <c r="M23" s="28">
        <f t="shared" si="5"/>
        <v>0</v>
      </c>
      <c r="N23" s="45">
        <f t="shared" si="6"/>
        <v>2.1</v>
      </c>
      <c r="O23" s="70"/>
      <c r="P23" s="30"/>
      <c r="Q23" s="30"/>
    </row>
    <row r="24" spans="1:17" ht="24.75" customHeight="1">
      <c r="A24" s="71">
        <v>17</v>
      </c>
      <c r="B24" s="77" t="s">
        <v>49</v>
      </c>
      <c r="C24" s="73">
        <v>93.8</v>
      </c>
      <c r="D24" s="26">
        <v>34.8</v>
      </c>
      <c r="E24" s="26">
        <v>93.8</v>
      </c>
      <c r="F24" s="17">
        <f t="shared" si="0"/>
        <v>269.5402298850575</v>
      </c>
      <c r="G24" s="26">
        <v>31.4</v>
      </c>
      <c r="H24" s="26">
        <v>0</v>
      </c>
      <c r="I24" s="17">
        <f t="shared" si="7"/>
        <v>0</v>
      </c>
      <c r="J24" s="28">
        <f t="shared" si="3"/>
        <v>66.19999999999999</v>
      </c>
      <c r="K24" s="28">
        <f t="shared" si="4"/>
        <v>93.8</v>
      </c>
      <c r="L24" s="17">
        <f t="shared" si="2"/>
        <v>141.69184290030213</v>
      </c>
      <c r="M24" s="28">
        <f t="shared" si="5"/>
        <v>-27.60000000000001</v>
      </c>
      <c r="N24" s="45">
        <f t="shared" si="6"/>
        <v>66.2</v>
      </c>
      <c r="O24" s="70"/>
      <c r="P24" s="30"/>
      <c r="Q24" s="30"/>
    </row>
    <row r="25" spans="1:17" ht="24.75" customHeight="1">
      <c r="A25" s="71">
        <v>18</v>
      </c>
      <c r="B25" s="72" t="s">
        <v>52</v>
      </c>
      <c r="C25" s="73">
        <v>22.9</v>
      </c>
      <c r="D25" s="26">
        <v>7.5</v>
      </c>
      <c r="E25" s="26">
        <v>15.8</v>
      </c>
      <c r="F25" s="17">
        <f t="shared" si="0"/>
        <v>210.66666666666669</v>
      </c>
      <c r="G25" s="26">
        <v>8.9</v>
      </c>
      <c r="H25" s="26">
        <v>0</v>
      </c>
      <c r="I25" s="17">
        <f aca="true" t="shared" si="8" ref="I25:I34">H25/G25*100</f>
        <v>0</v>
      </c>
      <c r="J25" s="28">
        <f t="shared" si="3"/>
        <v>16.4</v>
      </c>
      <c r="K25" s="28">
        <f t="shared" si="4"/>
        <v>15.8</v>
      </c>
      <c r="L25" s="17">
        <f t="shared" si="2"/>
        <v>96.34146341463415</v>
      </c>
      <c r="M25" s="28">
        <f t="shared" si="5"/>
        <v>0.5999999999999979</v>
      </c>
      <c r="N25" s="45">
        <f t="shared" si="6"/>
        <v>23.499999999999996</v>
      </c>
      <c r="O25" s="70"/>
      <c r="P25" s="30"/>
      <c r="Q25" s="30"/>
    </row>
    <row r="26" spans="1:17" ht="24.75" customHeight="1">
      <c r="A26" s="71">
        <v>19</v>
      </c>
      <c r="B26" s="77" t="s">
        <v>73</v>
      </c>
      <c r="C26" s="73">
        <v>3.2</v>
      </c>
      <c r="D26" s="26">
        <v>1.8</v>
      </c>
      <c r="E26" s="26">
        <v>0</v>
      </c>
      <c r="F26" s="17">
        <f t="shared" si="0"/>
        <v>0</v>
      </c>
      <c r="G26" s="26">
        <v>1.7</v>
      </c>
      <c r="H26" s="26">
        <v>0</v>
      </c>
      <c r="I26" s="17">
        <f t="shared" si="8"/>
        <v>0</v>
      </c>
      <c r="J26" s="28">
        <f t="shared" si="3"/>
        <v>3.5</v>
      </c>
      <c r="K26" s="28">
        <f t="shared" si="4"/>
        <v>0</v>
      </c>
      <c r="L26" s="17">
        <f t="shared" si="2"/>
        <v>0</v>
      </c>
      <c r="M26" s="28">
        <f t="shared" si="5"/>
        <v>3.5</v>
      </c>
      <c r="N26" s="45">
        <f t="shared" si="6"/>
        <v>6.7</v>
      </c>
      <c r="O26" s="70"/>
      <c r="P26" s="30"/>
      <c r="Q26" s="30"/>
    </row>
    <row r="27" spans="1:17" ht="24.75" customHeight="1">
      <c r="A27" s="71">
        <v>20</v>
      </c>
      <c r="B27" s="77" t="s">
        <v>74</v>
      </c>
      <c r="C27" s="73">
        <v>24.2</v>
      </c>
      <c r="D27" s="26">
        <v>11.5</v>
      </c>
      <c r="E27" s="26">
        <v>23.2</v>
      </c>
      <c r="F27" s="17">
        <f t="shared" si="0"/>
        <v>201.7391304347826</v>
      </c>
      <c r="G27" s="26">
        <v>14</v>
      </c>
      <c r="H27" s="26">
        <v>0</v>
      </c>
      <c r="I27" s="17">
        <f t="shared" si="8"/>
        <v>0</v>
      </c>
      <c r="J27" s="28">
        <f t="shared" si="3"/>
        <v>25.5</v>
      </c>
      <c r="K27" s="28">
        <f t="shared" si="4"/>
        <v>23.2</v>
      </c>
      <c r="L27" s="17">
        <f t="shared" si="2"/>
        <v>90.98039215686275</v>
      </c>
      <c r="M27" s="28">
        <f t="shared" si="5"/>
        <v>2.3000000000000007</v>
      </c>
      <c r="N27" s="45">
        <f t="shared" si="6"/>
        <v>26.500000000000004</v>
      </c>
      <c r="O27" s="70"/>
      <c r="P27" s="30"/>
      <c r="Q27" s="30"/>
    </row>
    <row r="28" spans="1:17" ht="24.75" customHeight="1">
      <c r="A28" s="71">
        <v>21</v>
      </c>
      <c r="B28" s="72" t="s">
        <v>75</v>
      </c>
      <c r="C28" s="73">
        <v>10.1</v>
      </c>
      <c r="D28" s="26">
        <v>4.7</v>
      </c>
      <c r="E28" s="26">
        <v>10.1</v>
      </c>
      <c r="F28" s="17">
        <f t="shared" si="0"/>
        <v>214.89361702127655</v>
      </c>
      <c r="G28" s="26">
        <v>4.4</v>
      </c>
      <c r="H28" s="26">
        <v>0</v>
      </c>
      <c r="I28" s="17">
        <f t="shared" si="8"/>
        <v>0</v>
      </c>
      <c r="J28" s="28">
        <f t="shared" si="3"/>
        <v>9.100000000000001</v>
      </c>
      <c r="K28" s="28">
        <f t="shared" si="4"/>
        <v>10.1</v>
      </c>
      <c r="L28" s="17">
        <f t="shared" si="2"/>
        <v>110.98901098901098</v>
      </c>
      <c r="M28" s="28">
        <f t="shared" si="5"/>
        <v>-0.9999999999999982</v>
      </c>
      <c r="N28" s="45">
        <f t="shared" si="6"/>
        <v>9.100000000000003</v>
      </c>
      <c r="O28" s="70"/>
      <c r="P28" s="30"/>
      <c r="Q28" s="30"/>
    </row>
    <row r="29" spans="1:17" ht="24.75" customHeight="1">
      <c r="A29" s="71">
        <v>22</v>
      </c>
      <c r="B29" s="72" t="s">
        <v>3</v>
      </c>
      <c r="C29" s="219" t="s">
        <v>12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8">
        <f t="shared" si="5"/>
        <v>0</v>
      </c>
      <c r="N29" s="157"/>
      <c r="O29" s="70"/>
      <c r="P29" s="30"/>
      <c r="Q29" s="30"/>
    </row>
    <row r="30" spans="1:17" ht="24.75" customHeight="1">
      <c r="A30" s="71">
        <v>23</v>
      </c>
      <c r="B30" s="77" t="s">
        <v>48</v>
      </c>
      <c r="C30" s="73">
        <v>7.5</v>
      </c>
      <c r="D30" s="26">
        <v>4.1</v>
      </c>
      <c r="E30" s="26">
        <v>7.5</v>
      </c>
      <c r="F30" s="17">
        <f t="shared" si="0"/>
        <v>182.9268292682927</v>
      </c>
      <c r="G30" s="26">
        <v>3.7</v>
      </c>
      <c r="H30" s="26">
        <v>0</v>
      </c>
      <c r="I30" s="69">
        <f t="shared" si="8"/>
        <v>0</v>
      </c>
      <c r="J30" s="28">
        <f aca="true" t="shared" si="9" ref="J30:J40">D30+G30</f>
        <v>7.8</v>
      </c>
      <c r="K30" s="28">
        <f aca="true" t="shared" si="10" ref="K30:K40">E30+H30</f>
        <v>7.5</v>
      </c>
      <c r="L30" s="17">
        <f t="shared" si="2"/>
        <v>96.15384615384616</v>
      </c>
      <c r="M30" s="28">
        <f t="shared" si="5"/>
        <v>0.2999999999999998</v>
      </c>
      <c r="N30" s="45">
        <f t="shared" si="6"/>
        <v>7.800000000000001</v>
      </c>
      <c r="O30" s="70"/>
      <c r="P30" s="30"/>
      <c r="Q30" s="30"/>
    </row>
    <row r="31" spans="1:17" ht="24.75" customHeight="1">
      <c r="A31" s="71">
        <v>24</v>
      </c>
      <c r="B31" s="77" t="s">
        <v>4</v>
      </c>
      <c r="C31" s="73">
        <v>9.9</v>
      </c>
      <c r="D31" s="26">
        <v>4.5</v>
      </c>
      <c r="E31" s="26">
        <v>9.9</v>
      </c>
      <c r="F31" s="17">
        <f t="shared" si="0"/>
        <v>220.00000000000003</v>
      </c>
      <c r="G31" s="26">
        <v>4.3</v>
      </c>
      <c r="H31" s="26">
        <v>0</v>
      </c>
      <c r="I31" s="17">
        <f t="shared" si="8"/>
        <v>0</v>
      </c>
      <c r="J31" s="28">
        <f t="shared" si="9"/>
        <v>8.8</v>
      </c>
      <c r="K31" s="28">
        <f t="shared" si="10"/>
        <v>9.9</v>
      </c>
      <c r="L31" s="17">
        <f t="shared" si="2"/>
        <v>112.5</v>
      </c>
      <c r="M31" s="28">
        <f t="shared" si="5"/>
        <v>-1.0999999999999996</v>
      </c>
      <c r="N31" s="45">
        <f t="shared" si="6"/>
        <v>8.800000000000002</v>
      </c>
      <c r="O31" s="70"/>
      <c r="P31" s="30"/>
      <c r="Q31" s="30"/>
    </row>
    <row r="32" spans="1:17" ht="24.75" customHeight="1">
      <c r="A32" s="71">
        <v>25</v>
      </c>
      <c r="B32" s="77" t="s">
        <v>5</v>
      </c>
      <c r="C32" s="73">
        <v>71.3</v>
      </c>
      <c r="D32" s="26">
        <v>37.3</v>
      </c>
      <c r="E32" s="26">
        <v>34.3</v>
      </c>
      <c r="F32" s="17">
        <f t="shared" si="0"/>
        <v>91.95710455764075</v>
      </c>
      <c r="G32" s="26">
        <v>36.9</v>
      </c>
      <c r="H32" s="26">
        <v>0</v>
      </c>
      <c r="I32" s="187">
        <f t="shared" si="8"/>
        <v>0</v>
      </c>
      <c r="J32" s="28">
        <f t="shared" si="9"/>
        <v>74.19999999999999</v>
      </c>
      <c r="K32" s="28">
        <f t="shared" si="10"/>
        <v>34.3</v>
      </c>
      <c r="L32" s="17">
        <f t="shared" si="2"/>
        <v>46.22641509433962</v>
      </c>
      <c r="M32" s="28">
        <f t="shared" si="5"/>
        <v>39.89999999999999</v>
      </c>
      <c r="N32" s="45">
        <f t="shared" si="6"/>
        <v>111.2</v>
      </c>
      <c r="O32" s="70"/>
      <c r="P32" s="30"/>
      <c r="Q32" s="30"/>
    </row>
    <row r="33" spans="1:17" ht="24.75" customHeight="1">
      <c r="A33" s="71">
        <v>26</v>
      </c>
      <c r="B33" s="77" t="s">
        <v>76</v>
      </c>
      <c r="C33" s="78">
        <v>30.9</v>
      </c>
      <c r="D33" s="42">
        <v>17.7</v>
      </c>
      <c r="E33" s="42">
        <v>30.7</v>
      </c>
      <c r="F33" s="17">
        <f>E33/D33*100</f>
        <v>173.44632768361583</v>
      </c>
      <c r="G33" s="26">
        <v>20</v>
      </c>
      <c r="H33" s="26">
        <v>7.8</v>
      </c>
      <c r="I33" s="17">
        <f t="shared" si="8"/>
        <v>39</v>
      </c>
      <c r="J33" s="28">
        <f t="shared" si="9"/>
        <v>37.7</v>
      </c>
      <c r="K33" s="28">
        <f t="shared" si="10"/>
        <v>38.5</v>
      </c>
      <c r="L33" s="17">
        <f t="shared" si="2"/>
        <v>102.12201591511936</v>
      </c>
      <c r="M33" s="28">
        <f t="shared" si="5"/>
        <v>-0.7999999999999972</v>
      </c>
      <c r="N33" s="45">
        <f t="shared" si="6"/>
        <v>30.099999999999994</v>
      </c>
      <c r="O33" s="70"/>
      <c r="P33" s="30"/>
      <c r="Q33" s="30"/>
    </row>
    <row r="34" spans="1:17" ht="24.75" customHeight="1">
      <c r="A34" s="71">
        <v>27</v>
      </c>
      <c r="B34" s="72" t="s">
        <v>77</v>
      </c>
      <c r="C34" s="73">
        <v>6.1</v>
      </c>
      <c r="D34" s="37">
        <v>4.6</v>
      </c>
      <c r="E34" s="37">
        <v>2.4</v>
      </c>
      <c r="F34" s="17">
        <f t="shared" si="0"/>
        <v>52.17391304347826</v>
      </c>
      <c r="G34" s="26">
        <v>4.3</v>
      </c>
      <c r="H34" s="26">
        <v>0</v>
      </c>
      <c r="I34" s="69">
        <f t="shared" si="8"/>
        <v>0</v>
      </c>
      <c r="J34" s="28">
        <f t="shared" si="9"/>
        <v>8.899999999999999</v>
      </c>
      <c r="K34" s="28">
        <f t="shared" si="10"/>
        <v>2.4</v>
      </c>
      <c r="L34" s="17">
        <f t="shared" si="2"/>
        <v>26.966292134831466</v>
      </c>
      <c r="M34" s="28">
        <f t="shared" si="5"/>
        <v>6.499999999999998</v>
      </c>
      <c r="N34" s="45">
        <f t="shared" si="6"/>
        <v>12.599999999999998</v>
      </c>
      <c r="O34" s="70"/>
      <c r="P34" s="30"/>
      <c r="Q34" s="30"/>
    </row>
    <row r="35" spans="1:17" ht="24.75" customHeight="1">
      <c r="A35" s="71">
        <v>28</v>
      </c>
      <c r="B35" s="77" t="s">
        <v>78</v>
      </c>
      <c r="C35" s="73">
        <v>42</v>
      </c>
      <c r="D35" s="26">
        <v>41.2</v>
      </c>
      <c r="E35" s="26">
        <v>42</v>
      </c>
      <c r="F35" s="17">
        <f t="shared" si="0"/>
        <v>101.94174757281553</v>
      </c>
      <c r="G35" s="26">
        <v>37.8</v>
      </c>
      <c r="H35" s="26">
        <v>0</v>
      </c>
      <c r="I35" s="17">
        <f aca="true" t="shared" si="11" ref="I35:I43">H35/G35*100</f>
        <v>0</v>
      </c>
      <c r="J35" s="28">
        <f t="shared" si="9"/>
        <v>79</v>
      </c>
      <c r="K35" s="28">
        <f t="shared" si="10"/>
        <v>42</v>
      </c>
      <c r="L35" s="17">
        <f t="shared" si="2"/>
        <v>53.16455696202531</v>
      </c>
      <c r="M35" s="28">
        <f t="shared" si="5"/>
        <v>37</v>
      </c>
      <c r="N35" s="45">
        <f t="shared" si="6"/>
        <v>79</v>
      </c>
      <c r="O35" s="70"/>
      <c r="P35" s="30"/>
      <c r="Q35" s="30"/>
    </row>
    <row r="36" spans="1:17" ht="24.75" customHeight="1">
      <c r="A36" s="71">
        <v>29</v>
      </c>
      <c r="B36" s="77" t="s">
        <v>6</v>
      </c>
      <c r="C36" s="73">
        <f>14.3+1.1</f>
        <v>15.4</v>
      </c>
      <c r="D36" s="26">
        <f>34.9+1.4</f>
        <v>36.3</v>
      </c>
      <c r="E36" s="26">
        <f>36.3+1.3</f>
        <v>37.599999999999994</v>
      </c>
      <c r="F36" s="17">
        <f t="shared" si="0"/>
        <v>103.58126721763085</v>
      </c>
      <c r="G36" s="26">
        <f>35.4+1.1</f>
        <v>36.5</v>
      </c>
      <c r="H36" s="26">
        <f>0+0</f>
        <v>0</v>
      </c>
      <c r="I36" s="17">
        <f t="shared" si="11"/>
        <v>0</v>
      </c>
      <c r="J36" s="28">
        <f t="shared" si="9"/>
        <v>72.8</v>
      </c>
      <c r="K36" s="28">
        <f t="shared" si="10"/>
        <v>37.599999999999994</v>
      </c>
      <c r="L36" s="17">
        <f t="shared" si="2"/>
        <v>51.64835164835164</v>
      </c>
      <c r="M36" s="28">
        <f t="shared" si="5"/>
        <v>35.2</v>
      </c>
      <c r="N36" s="45">
        <f t="shared" si="6"/>
        <v>50.60000000000001</v>
      </c>
      <c r="O36" s="70"/>
      <c r="P36" s="30"/>
      <c r="Q36" s="30"/>
    </row>
    <row r="37" spans="1:17" ht="24.75" customHeight="1">
      <c r="A37" s="71">
        <v>30</v>
      </c>
      <c r="B37" s="77" t="s">
        <v>11</v>
      </c>
      <c r="C37" s="73">
        <v>43.6</v>
      </c>
      <c r="D37" s="26">
        <v>43.3</v>
      </c>
      <c r="E37" s="26">
        <v>43.6</v>
      </c>
      <c r="F37" s="17">
        <f t="shared" si="0"/>
        <v>100.69284064665128</v>
      </c>
      <c r="G37" s="26">
        <v>45.1</v>
      </c>
      <c r="H37" s="26">
        <v>0</v>
      </c>
      <c r="I37" s="17">
        <f t="shared" si="11"/>
        <v>0</v>
      </c>
      <c r="J37" s="28">
        <f t="shared" si="9"/>
        <v>88.4</v>
      </c>
      <c r="K37" s="28">
        <f t="shared" si="10"/>
        <v>43.6</v>
      </c>
      <c r="L37" s="17">
        <f t="shared" si="2"/>
        <v>49.32126696832579</v>
      </c>
      <c r="M37" s="28">
        <f t="shared" si="5"/>
        <v>44.800000000000004</v>
      </c>
      <c r="N37" s="45">
        <f t="shared" si="6"/>
        <v>88.4</v>
      </c>
      <c r="O37" s="70"/>
      <c r="P37" s="30"/>
      <c r="Q37" s="30"/>
    </row>
    <row r="38" spans="1:17" ht="24.75" customHeight="1">
      <c r="A38" s="71">
        <v>31</v>
      </c>
      <c r="B38" s="77" t="s">
        <v>82</v>
      </c>
      <c r="C38" s="73">
        <v>40.8</v>
      </c>
      <c r="D38" s="26">
        <v>10.2</v>
      </c>
      <c r="E38" s="26">
        <v>10.3</v>
      </c>
      <c r="F38" s="17">
        <f t="shared" si="0"/>
        <v>100.98039215686276</v>
      </c>
      <c r="G38" s="26">
        <v>11.5</v>
      </c>
      <c r="H38" s="26">
        <v>0</v>
      </c>
      <c r="I38" s="17">
        <f t="shared" si="11"/>
        <v>0</v>
      </c>
      <c r="J38" s="28">
        <f t="shared" si="9"/>
        <v>21.7</v>
      </c>
      <c r="K38" s="28">
        <f t="shared" si="10"/>
        <v>10.3</v>
      </c>
      <c r="L38" s="17">
        <f t="shared" si="2"/>
        <v>47.46543778801844</v>
      </c>
      <c r="M38" s="28">
        <f t="shared" si="5"/>
        <v>11.399999999999999</v>
      </c>
      <c r="N38" s="45">
        <f t="shared" si="6"/>
        <v>52.2</v>
      </c>
      <c r="O38" s="70"/>
      <c r="P38" s="30"/>
      <c r="Q38" s="30"/>
    </row>
    <row r="39" spans="1:17" ht="24.75" customHeight="1">
      <c r="A39" s="71">
        <v>32</v>
      </c>
      <c r="B39" s="72" t="s">
        <v>83</v>
      </c>
      <c r="C39" s="73">
        <v>28.5</v>
      </c>
      <c r="D39" s="26">
        <v>26.7</v>
      </c>
      <c r="E39" s="26">
        <v>28.5</v>
      </c>
      <c r="F39" s="17">
        <f t="shared" si="0"/>
        <v>106.74157303370787</v>
      </c>
      <c r="G39" s="26">
        <v>28.3</v>
      </c>
      <c r="H39" s="26">
        <v>26.7</v>
      </c>
      <c r="I39" s="69">
        <f t="shared" si="11"/>
        <v>94.34628975265016</v>
      </c>
      <c r="J39" s="28">
        <f t="shared" si="9"/>
        <v>55</v>
      </c>
      <c r="K39" s="28">
        <f t="shared" si="10"/>
        <v>55.2</v>
      </c>
      <c r="L39" s="17">
        <f t="shared" si="2"/>
        <v>100.36363636363636</v>
      </c>
      <c r="M39" s="28">
        <f t="shared" si="5"/>
        <v>-0.20000000000000284</v>
      </c>
      <c r="N39" s="45">
        <f t="shared" si="6"/>
        <v>28.299999999999997</v>
      </c>
      <c r="O39" s="70"/>
      <c r="P39" s="30"/>
      <c r="Q39" s="30"/>
    </row>
    <row r="40" spans="1:17" ht="24.75" customHeight="1">
      <c r="A40" s="71">
        <v>33</v>
      </c>
      <c r="B40" s="77" t="s">
        <v>60</v>
      </c>
      <c r="C40" s="73">
        <v>186.8</v>
      </c>
      <c r="D40" s="26">
        <v>70.1</v>
      </c>
      <c r="E40" s="26">
        <v>119</v>
      </c>
      <c r="F40" s="17">
        <f>E40/D40*100</f>
        <v>169.7574893009986</v>
      </c>
      <c r="G40" s="26">
        <v>65.5</v>
      </c>
      <c r="H40" s="26">
        <v>0</v>
      </c>
      <c r="I40" s="69">
        <f t="shared" si="11"/>
        <v>0</v>
      </c>
      <c r="J40" s="28">
        <f t="shared" si="9"/>
        <v>135.6</v>
      </c>
      <c r="K40" s="28">
        <f t="shared" si="10"/>
        <v>119</v>
      </c>
      <c r="L40" s="17">
        <f t="shared" si="2"/>
        <v>87.75811209439527</v>
      </c>
      <c r="M40" s="28">
        <f t="shared" si="5"/>
        <v>16.599999999999994</v>
      </c>
      <c r="N40" s="45">
        <f t="shared" si="6"/>
        <v>203.39999999999998</v>
      </c>
      <c r="O40" s="70"/>
      <c r="P40" s="30"/>
      <c r="Q40" s="30"/>
    </row>
    <row r="41" spans="1:17" s="22" customFormat="1" ht="27" customHeight="1">
      <c r="A41" s="71">
        <v>34</v>
      </c>
      <c r="B41" s="51" t="s">
        <v>84</v>
      </c>
      <c r="C41" s="79">
        <f>SUM(C42:C42)</f>
        <v>3020.7</v>
      </c>
      <c r="D41" s="45">
        <f>SUM(D42:D42)</f>
        <v>1189</v>
      </c>
      <c r="E41" s="45">
        <f>SUM(E42:E42)</f>
        <v>2485.9</v>
      </c>
      <c r="F41" s="17">
        <f t="shared" si="0"/>
        <v>209.0748528174937</v>
      </c>
      <c r="G41" s="45">
        <f>SUM(G42:G42)</f>
        <v>1211.4</v>
      </c>
      <c r="H41" s="45">
        <f>SUM(H42:H42)</f>
        <v>0</v>
      </c>
      <c r="I41" s="17">
        <f t="shared" si="11"/>
        <v>0</v>
      </c>
      <c r="J41" s="45">
        <f>SUM(J42:J42)</f>
        <v>2400.4</v>
      </c>
      <c r="K41" s="45">
        <f>SUM(K42:K42)</f>
        <v>2485.9</v>
      </c>
      <c r="L41" s="17">
        <f t="shared" si="2"/>
        <v>103.56190634894185</v>
      </c>
      <c r="M41" s="45">
        <f>SUM(M42:M42)</f>
        <v>-85.5</v>
      </c>
      <c r="N41" s="45">
        <f>SUM(N42:N42)</f>
        <v>2935.2000000000003</v>
      </c>
      <c r="O41" s="70"/>
      <c r="P41" s="18"/>
      <c r="Q41" s="18"/>
    </row>
    <row r="42" spans="1:17" s="22" customFormat="1" ht="24.75" customHeight="1">
      <c r="A42" s="80"/>
      <c r="B42" s="81" t="s">
        <v>85</v>
      </c>
      <c r="C42" s="73">
        <v>3020.7</v>
      </c>
      <c r="D42" s="82">
        <v>1189</v>
      </c>
      <c r="E42" s="82">
        <v>2485.9</v>
      </c>
      <c r="F42" s="17">
        <f t="shared" si="0"/>
        <v>209.0748528174937</v>
      </c>
      <c r="G42" s="26">
        <v>1211.4</v>
      </c>
      <c r="H42" s="26">
        <v>0</v>
      </c>
      <c r="I42" s="17">
        <f t="shared" si="11"/>
        <v>0</v>
      </c>
      <c r="J42" s="28">
        <f>D42+G42</f>
        <v>2400.4</v>
      </c>
      <c r="K42" s="28">
        <f>E42+H42</f>
        <v>2485.9</v>
      </c>
      <c r="L42" s="17">
        <f t="shared" si="2"/>
        <v>103.56190634894185</v>
      </c>
      <c r="M42" s="28">
        <f t="shared" si="5"/>
        <v>-85.5</v>
      </c>
      <c r="N42" s="45">
        <f t="shared" si="6"/>
        <v>2935.2000000000003</v>
      </c>
      <c r="O42" s="70"/>
      <c r="P42" s="18"/>
      <c r="Q42" s="18"/>
    </row>
    <row r="43" spans="1:17" s="22" customFormat="1" ht="31.5" customHeight="1">
      <c r="A43" s="80"/>
      <c r="B43" s="43" t="s">
        <v>10</v>
      </c>
      <c r="C43" s="79">
        <f>C7+C41</f>
        <v>4062.6</v>
      </c>
      <c r="D43" s="45">
        <f>D7+D41</f>
        <v>1700.2</v>
      </c>
      <c r="E43" s="45">
        <f>E7+E41</f>
        <v>3161.8</v>
      </c>
      <c r="F43" s="17">
        <f t="shared" si="0"/>
        <v>185.96635689918836</v>
      </c>
      <c r="G43" s="45">
        <f>G7+G41</f>
        <v>1745.4</v>
      </c>
      <c r="H43" s="45">
        <f>H7+H41</f>
        <v>184.5</v>
      </c>
      <c r="I43" s="17">
        <f t="shared" si="11"/>
        <v>10.570642832588518</v>
      </c>
      <c r="J43" s="79">
        <f>J7+J41</f>
        <v>3445.6000000000004</v>
      </c>
      <c r="K43" s="79">
        <f>K7+K41</f>
        <v>3346.3</v>
      </c>
      <c r="L43" s="17">
        <f>K43/J43*100</f>
        <v>97.11806361736707</v>
      </c>
      <c r="M43" s="45">
        <f>M7+M41</f>
        <v>99.30000000000004</v>
      </c>
      <c r="N43" s="45">
        <f>N7+N41</f>
        <v>4161.900000000001</v>
      </c>
      <c r="O43" s="70"/>
      <c r="P43" s="18"/>
      <c r="Q43" s="18"/>
    </row>
    <row r="44" spans="1:17" s="22" customFormat="1" ht="31.5" customHeight="1">
      <c r="A44" s="83"/>
      <c r="B44" s="49"/>
      <c r="C44" s="52"/>
      <c r="D44" s="46"/>
      <c r="E44" s="46"/>
      <c r="F44" s="20"/>
      <c r="G44" s="46"/>
      <c r="H44" s="46"/>
      <c r="I44" s="20"/>
      <c r="J44" s="52"/>
      <c r="K44" s="52"/>
      <c r="L44" s="20"/>
      <c r="M44" s="20"/>
      <c r="N44" s="46"/>
      <c r="O44" s="70"/>
      <c r="P44" s="18"/>
      <c r="Q44" s="18"/>
    </row>
    <row r="45" spans="1:15" s="3" customFormat="1" ht="96.75" customHeight="1">
      <c r="A45" s="1"/>
      <c r="B45" s="213" t="s">
        <v>138</v>
      </c>
      <c r="C45" s="213"/>
      <c r="D45" s="213"/>
      <c r="E45" s="213"/>
      <c r="F45" s="213"/>
      <c r="G45" s="2"/>
      <c r="H45" s="2"/>
      <c r="I45" s="185"/>
      <c r="J45" s="2"/>
      <c r="K45" s="2"/>
      <c r="L45" s="185"/>
      <c r="M45" s="223" t="s">
        <v>139</v>
      </c>
      <c r="N45" s="224"/>
      <c r="O45" s="4"/>
    </row>
    <row r="46" spans="1:14" ht="73.5" customHeight="1" hidden="1">
      <c r="A46" s="214" t="s">
        <v>136</v>
      </c>
      <c r="B46" s="214"/>
      <c r="C46" s="59"/>
      <c r="D46" s="59"/>
      <c r="E46" s="59"/>
      <c r="F46" s="59"/>
      <c r="G46" s="60"/>
      <c r="H46" s="60"/>
      <c r="I46" s="61"/>
      <c r="J46" s="60"/>
      <c r="K46" s="60"/>
      <c r="L46" s="61"/>
      <c r="N46" s="62" t="s">
        <v>137</v>
      </c>
    </row>
    <row r="47" spans="2:13" ht="32.25" customHeight="1" hidden="1">
      <c r="B47" s="221" t="s">
        <v>53</v>
      </c>
      <c r="C47" s="221"/>
      <c r="D47" s="221"/>
      <c r="E47" s="221"/>
      <c r="F47" s="221"/>
      <c r="H47" s="22"/>
      <c r="I47" s="22" t="s">
        <v>54</v>
      </c>
      <c r="J47" s="22"/>
      <c r="K47" s="22"/>
      <c r="M47" s="22"/>
    </row>
    <row r="50" spans="3:14" ht="18.75">
      <c r="C50" s="56"/>
      <c r="D50" s="57"/>
      <c r="E50" s="57"/>
      <c r="F50" s="184"/>
      <c r="G50" s="57"/>
      <c r="H50" s="57"/>
      <c r="I50" s="184"/>
      <c r="J50" s="57"/>
      <c r="K50" s="57"/>
      <c r="L50" s="184"/>
      <c r="M50" s="57"/>
      <c r="N50" s="57"/>
    </row>
    <row r="51" spans="3:14" ht="18.75">
      <c r="C51" s="56"/>
      <c r="D51" s="57"/>
      <c r="E51" s="57"/>
      <c r="F51" s="184"/>
      <c r="G51" s="57"/>
      <c r="H51" s="57"/>
      <c r="I51" s="184"/>
      <c r="J51" s="57"/>
      <c r="K51" s="57"/>
      <c r="L51" s="184"/>
      <c r="M51" s="57"/>
      <c r="N51" s="57"/>
    </row>
    <row r="52" spans="3:14" ht="18.75">
      <c r="C52" s="56"/>
      <c r="D52" s="57"/>
      <c r="E52" s="57"/>
      <c r="F52" s="184"/>
      <c r="G52" s="57"/>
      <c r="H52" s="57"/>
      <c r="I52" s="184"/>
      <c r="J52" s="57"/>
      <c r="K52" s="57"/>
      <c r="L52" s="184"/>
      <c r="M52" s="57"/>
      <c r="N52" s="57"/>
    </row>
    <row r="53" spans="3:14" ht="18.75">
      <c r="C53" s="56"/>
      <c r="D53" s="57"/>
      <c r="E53" s="57"/>
      <c r="F53" s="184"/>
      <c r="G53" s="57"/>
      <c r="H53" s="57"/>
      <c r="I53" s="184"/>
      <c r="J53" s="57"/>
      <c r="K53" s="57"/>
      <c r="L53" s="184"/>
      <c r="M53" s="57"/>
      <c r="N53" s="57"/>
    </row>
    <row r="54" spans="3:14" ht="18.75">
      <c r="C54" s="56"/>
      <c r="D54" s="57"/>
      <c r="E54" s="57"/>
      <c r="F54" s="184"/>
      <c r="G54" s="57"/>
      <c r="H54" s="57"/>
      <c r="I54" s="184"/>
      <c r="J54" s="57"/>
      <c r="K54" s="57"/>
      <c r="L54" s="184"/>
      <c r="M54" s="57"/>
      <c r="N54" s="57"/>
    </row>
    <row r="55" spans="3:14" ht="18.75">
      <c r="C55" s="56"/>
      <c r="D55" s="57"/>
      <c r="E55" s="57"/>
      <c r="F55" s="184"/>
      <c r="G55" s="57"/>
      <c r="H55" s="57"/>
      <c r="I55" s="184"/>
      <c r="J55" s="57"/>
      <c r="K55" s="57"/>
      <c r="L55" s="184"/>
      <c r="M55" s="57"/>
      <c r="N55" s="57"/>
    </row>
    <row r="56" spans="3:14" ht="18.75">
      <c r="C56" s="56"/>
      <c r="D56" s="57"/>
      <c r="E56" s="57"/>
      <c r="F56" s="184"/>
      <c r="G56" s="57"/>
      <c r="H56" s="57"/>
      <c r="I56" s="184"/>
      <c r="J56" s="57"/>
      <c r="K56" s="57"/>
      <c r="L56" s="184"/>
      <c r="M56" s="57"/>
      <c r="N56" s="57"/>
    </row>
    <row r="57" spans="3:14" ht="18.75">
      <c r="C57" s="56"/>
      <c r="D57" s="57"/>
      <c r="E57" s="57"/>
      <c r="F57" s="184"/>
      <c r="G57" s="57"/>
      <c r="H57" s="57"/>
      <c r="I57" s="184"/>
      <c r="J57" s="57"/>
      <c r="K57" s="57"/>
      <c r="L57" s="184"/>
      <c r="M57" s="57"/>
      <c r="N57" s="57"/>
    </row>
    <row r="58" spans="3:14" ht="18.75">
      <c r="C58" s="56"/>
      <c r="D58" s="57"/>
      <c r="E58" s="57"/>
      <c r="F58" s="184"/>
      <c r="G58" s="57"/>
      <c r="H58" s="57"/>
      <c r="I58" s="184"/>
      <c r="J58" s="57"/>
      <c r="K58" s="57"/>
      <c r="L58" s="184"/>
      <c r="M58" s="57"/>
      <c r="N58" s="57"/>
    </row>
    <row r="59" spans="3:14" ht="18.75">
      <c r="C59" s="56"/>
      <c r="D59" s="57"/>
      <c r="E59" s="57"/>
      <c r="F59" s="184"/>
      <c r="G59" s="57"/>
      <c r="H59" s="57"/>
      <c r="I59" s="184"/>
      <c r="J59" s="57"/>
      <c r="K59" s="57"/>
      <c r="L59" s="184"/>
      <c r="M59" s="57"/>
      <c r="N59" s="57"/>
    </row>
    <row r="60" spans="3:14" ht="18.75">
      <c r="C60" s="56"/>
      <c r="D60" s="57"/>
      <c r="E60" s="57"/>
      <c r="F60" s="184"/>
      <c r="G60" s="57"/>
      <c r="H60" s="57"/>
      <c r="I60" s="184"/>
      <c r="J60" s="57"/>
      <c r="K60" s="57"/>
      <c r="L60" s="184"/>
      <c r="M60" s="57"/>
      <c r="N60" s="57"/>
    </row>
    <row r="61" spans="3:14" ht="18.75">
      <c r="C61" s="56"/>
      <c r="D61" s="57"/>
      <c r="E61" s="57"/>
      <c r="F61" s="184"/>
      <c r="G61" s="57"/>
      <c r="H61" s="57"/>
      <c r="I61" s="184"/>
      <c r="J61" s="57"/>
      <c r="K61" s="57"/>
      <c r="L61" s="184"/>
      <c r="M61" s="57"/>
      <c r="N61" s="57"/>
    </row>
    <row r="62" spans="3:14" ht="18.75">
      <c r="C62" s="56"/>
      <c r="D62" s="57"/>
      <c r="E62" s="57"/>
      <c r="F62" s="184"/>
      <c r="G62" s="57"/>
      <c r="H62" s="57"/>
      <c r="I62" s="184"/>
      <c r="J62" s="57"/>
      <c r="K62" s="57"/>
      <c r="L62" s="184"/>
      <c r="M62" s="57"/>
      <c r="N62" s="57"/>
    </row>
    <row r="63" spans="3:14" ht="18.75">
      <c r="C63" s="56"/>
      <c r="D63" s="57"/>
      <c r="E63" s="57"/>
      <c r="F63" s="184"/>
      <c r="G63" s="57"/>
      <c r="H63" s="57"/>
      <c r="I63" s="184"/>
      <c r="J63" s="57"/>
      <c r="K63" s="57"/>
      <c r="L63" s="184"/>
      <c r="M63" s="57"/>
      <c r="N63" s="57"/>
    </row>
    <row r="64" spans="3:14" ht="18.75">
      <c r="C64" s="56"/>
      <c r="D64" s="57"/>
      <c r="E64" s="57"/>
      <c r="F64" s="184"/>
      <c r="G64" s="57"/>
      <c r="H64" s="57"/>
      <c r="I64" s="184"/>
      <c r="J64" s="57"/>
      <c r="K64" s="57"/>
      <c r="L64" s="184"/>
      <c r="M64" s="57"/>
      <c r="N64" s="57"/>
    </row>
    <row r="65" spans="3:14" ht="18.75">
      <c r="C65" s="56"/>
      <c r="D65" s="57"/>
      <c r="E65" s="57"/>
      <c r="F65" s="184"/>
      <c r="G65" s="57"/>
      <c r="H65" s="57"/>
      <c r="I65" s="184"/>
      <c r="J65" s="57"/>
      <c r="K65" s="57"/>
      <c r="L65" s="184"/>
      <c r="M65" s="57"/>
      <c r="N65" s="57"/>
    </row>
    <row r="66" spans="3:14" ht="18.75">
      <c r="C66" s="56"/>
      <c r="D66" s="57"/>
      <c r="E66" s="57"/>
      <c r="F66" s="184"/>
      <c r="G66" s="57"/>
      <c r="H66" s="57"/>
      <c r="I66" s="184"/>
      <c r="J66" s="57"/>
      <c r="K66" s="57"/>
      <c r="L66" s="184"/>
      <c r="M66" s="57"/>
      <c r="N66" s="57"/>
    </row>
    <row r="67" spans="3:14" ht="18.75">
      <c r="C67" s="56"/>
      <c r="D67" s="57"/>
      <c r="E67" s="57"/>
      <c r="F67" s="184"/>
      <c r="G67" s="57"/>
      <c r="H67" s="57"/>
      <c r="I67" s="184"/>
      <c r="J67" s="57"/>
      <c r="K67" s="57"/>
      <c r="L67" s="184"/>
      <c r="M67" s="57"/>
      <c r="N67" s="57"/>
    </row>
    <row r="68" spans="3:14" ht="18.75">
      <c r="C68" s="56"/>
      <c r="D68" s="57"/>
      <c r="E68" s="57"/>
      <c r="F68" s="184"/>
      <c r="G68" s="57"/>
      <c r="H68" s="57"/>
      <c r="I68" s="184"/>
      <c r="J68" s="57"/>
      <c r="K68" s="57"/>
      <c r="L68" s="184"/>
      <c r="M68" s="57"/>
      <c r="N68" s="57"/>
    </row>
    <row r="69" spans="3:14" ht="18.75">
      <c r="C69" s="56"/>
      <c r="D69" s="57"/>
      <c r="E69" s="57"/>
      <c r="F69" s="184"/>
      <c r="G69" s="57"/>
      <c r="H69" s="57"/>
      <c r="I69" s="184"/>
      <c r="J69" s="57"/>
      <c r="K69" s="57"/>
      <c r="L69" s="184"/>
      <c r="M69" s="57"/>
      <c r="N69" s="57"/>
    </row>
    <row r="70" spans="3:14" ht="18.75">
      <c r="C70" s="56"/>
      <c r="D70" s="57"/>
      <c r="E70" s="57"/>
      <c r="F70" s="184"/>
      <c r="G70" s="57"/>
      <c r="H70" s="57"/>
      <c r="I70" s="184"/>
      <c r="J70" s="57"/>
      <c r="K70" s="57"/>
      <c r="L70" s="184"/>
      <c r="M70" s="57"/>
      <c r="N70" s="57"/>
    </row>
    <row r="71" spans="3:14" ht="18.75">
      <c r="C71" s="56"/>
      <c r="D71" s="57"/>
      <c r="E71" s="57"/>
      <c r="F71" s="184"/>
      <c r="G71" s="57"/>
      <c r="H71" s="57"/>
      <c r="I71" s="184"/>
      <c r="J71" s="57"/>
      <c r="K71" s="57"/>
      <c r="L71" s="184"/>
      <c r="M71" s="57"/>
      <c r="N71" s="57"/>
    </row>
    <row r="72" spans="3:14" ht="18.75">
      <c r="C72" s="56"/>
      <c r="D72" s="57"/>
      <c r="E72" s="57"/>
      <c r="F72" s="184"/>
      <c r="G72" s="57"/>
      <c r="H72" s="57"/>
      <c r="I72" s="184"/>
      <c r="J72" s="57"/>
      <c r="K72" s="57"/>
      <c r="L72" s="184"/>
      <c r="M72" s="57"/>
      <c r="N72" s="57"/>
    </row>
    <row r="73" spans="3:14" ht="18.75">
      <c r="C73" s="56"/>
      <c r="D73" s="57"/>
      <c r="E73" s="57"/>
      <c r="F73" s="184"/>
      <c r="G73" s="57"/>
      <c r="H73" s="57"/>
      <c r="I73" s="184"/>
      <c r="J73" s="57"/>
      <c r="K73" s="57"/>
      <c r="L73" s="184"/>
      <c r="M73" s="57"/>
      <c r="N73" s="57"/>
    </row>
    <row r="74" spans="3:14" ht="18.75">
      <c r="C74" s="56"/>
      <c r="D74" s="57"/>
      <c r="E74" s="57"/>
      <c r="F74" s="184"/>
      <c r="G74" s="57"/>
      <c r="H74" s="57"/>
      <c r="I74" s="184"/>
      <c r="J74" s="57"/>
      <c r="K74" s="57"/>
      <c r="L74" s="184"/>
      <c r="M74" s="57"/>
      <c r="N74" s="57"/>
    </row>
    <row r="75" spans="3:14" ht="18.75">
      <c r="C75" s="56"/>
      <c r="D75" s="57"/>
      <c r="E75" s="57"/>
      <c r="F75" s="184"/>
      <c r="G75" s="57"/>
      <c r="H75" s="57"/>
      <c r="I75" s="184"/>
      <c r="J75" s="57"/>
      <c r="K75" s="57"/>
      <c r="L75" s="184"/>
      <c r="M75" s="57"/>
      <c r="N75" s="57"/>
    </row>
    <row r="76" spans="3:14" ht="18.75">
      <c r="C76" s="56"/>
      <c r="D76" s="57"/>
      <c r="E76" s="57"/>
      <c r="F76" s="184"/>
      <c r="G76" s="57"/>
      <c r="H76" s="57"/>
      <c r="I76" s="184"/>
      <c r="J76" s="57"/>
      <c r="K76" s="57"/>
      <c r="L76" s="184"/>
      <c r="M76" s="57"/>
      <c r="N76" s="57"/>
    </row>
    <row r="77" spans="3:14" ht="18.75">
      <c r="C77" s="56"/>
      <c r="D77" s="57"/>
      <c r="E77" s="57"/>
      <c r="F77" s="184"/>
      <c r="G77" s="57"/>
      <c r="H77" s="57"/>
      <c r="I77" s="184"/>
      <c r="J77" s="57"/>
      <c r="K77" s="57"/>
      <c r="L77" s="184"/>
      <c r="M77" s="57"/>
      <c r="N77" s="57"/>
    </row>
    <row r="78" spans="3:14" ht="18.75">
      <c r="C78" s="56"/>
      <c r="D78" s="57"/>
      <c r="E78" s="57"/>
      <c r="F78" s="184"/>
      <c r="G78" s="57"/>
      <c r="H78" s="57"/>
      <c r="I78" s="184"/>
      <c r="J78" s="57"/>
      <c r="K78" s="57"/>
      <c r="L78" s="184"/>
      <c r="M78" s="57"/>
      <c r="N78" s="57"/>
    </row>
    <row r="79" spans="3:14" ht="18.75">
      <c r="C79" s="56"/>
      <c r="D79" s="57"/>
      <c r="E79" s="57"/>
      <c r="F79" s="184"/>
      <c r="G79" s="57"/>
      <c r="H79" s="57"/>
      <c r="I79" s="184"/>
      <c r="J79" s="57"/>
      <c r="K79" s="57"/>
      <c r="L79" s="184"/>
      <c r="M79" s="57"/>
      <c r="N79" s="57"/>
    </row>
    <row r="80" spans="3:14" ht="18.75">
      <c r="C80" s="56"/>
      <c r="D80" s="57"/>
      <c r="E80" s="57"/>
      <c r="F80" s="184"/>
      <c r="G80" s="57"/>
      <c r="H80" s="57"/>
      <c r="I80" s="184"/>
      <c r="J80" s="57"/>
      <c r="K80" s="57"/>
      <c r="L80" s="184"/>
      <c r="M80" s="57"/>
      <c r="N80" s="57"/>
    </row>
    <row r="81" spans="3:14" ht="18.75">
      <c r="C81" s="56"/>
      <c r="D81" s="57"/>
      <c r="E81" s="57"/>
      <c r="F81" s="184"/>
      <c r="G81" s="57"/>
      <c r="H81" s="57"/>
      <c r="I81" s="184"/>
      <c r="J81" s="57"/>
      <c r="K81" s="57"/>
      <c r="L81" s="184"/>
      <c r="M81" s="57"/>
      <c r="N81" s="57"/>
    </row>
    <row r="82" spans="3:14" ht="18.75">
      <c r="C82" s="56"/>
      <c r="D82" s="57"/>
      <c r="E82" s="57"/>
      <c r="F82" s="184"/>
      <c r="G82" s="57"/>
      <c r="H82" s="57"/>
      <c r="I82" s="184"/>
      <c r="J82" s="57"/>
      <c r="K82" s="57"/>
      <c r="L82" s="184"/>
      <c r="M82" s="57"/>
      <c r="N82" s="57"/>
    </row>
    <row r="83" spans="3:14" ht="18.75">
      <c r="C83" s="56"/>
      <c r="D83" s="57"/>
      <c r="E83" s="57"/>
      <c r="F83" s="184"/>
      <c r="G83" s="57"/>
      <c r="H83" s="57"/>
      <c r="I83" s="184"/>
      <c r="J83" s="57"/>
      <c r="K83" s="57"/>
      <c r="L83" s="184"/>
      <c r="M83" s="57"/>
      <c r="N83" s="57"/>
    </row>
    <row r="84" spans="3:14" ht="18.75">
      <c r="C84" s="56"/>
      <c r="D84" s="57"/>
      <c r="E84" s="57"/>
      <c r="F84" s="184"/>
      <c r="G84" s="57"/>
      <c r="H84" s="57"/>
      <c r="I84" s="184"/>
      <c r="J84" s="57"/>
      <c r="K84" s="57"/>
      <c r="L84" s="184"/>
      <c r="M84" s="57"/>
      <c r="N84" s="57"/>
    </row>
    <row r="85" spans="3:14" ht="18.75">
      <c r="C85" s="56"/>
      <c r="D85" s="57"/>
      <c r="E85" s="57"/>
      <c r="F85" s="184"/>
      <c r="G85" s="57"/>
      <c r="H85" s="57"/>
      <c r="I85" s="184"/>
      <c r="J85" s="57"/>
      <c r="K85" s="57"/>
      <c r="L85" s="184"/>
      <c r="M85" s="57"/>
      <c r="N85" s="57"/>
    </row>
    <row r="86" spans="3:14" ht="18.75">
      <c r="C86" s="56"/>
      <c r="D86" s="57"/>
      <c r="E86" s="57"/>
      <c r="F86" s="184"/>
      <c r="G86" s="57"/>
      <c r="H86" s="57"/>
      <c r="I86" s="184"/>
      <c r="J86" s="57"/>
      <c r="K86" s="57"/>
      <c r="L86" s="184"/>
      <c r="M86" s="57"/>
      <c r="N86" s="57"/>
    </row>
    <row r="87" spans="3:14" ht="18.75">
      <c r="C87" s="56"/>
      <c r="D87" s="57"/>
      <c r="E87" s="57"/>
      <c r="F87" s="184"/>
      <c r="G87" s="57"/>
      <c r="H87" s="57"/>
      <c r="I87" s="184"/>
      <c r="J87" s="57"/>
      <c r="K87" s="57"/>
      <c r="L87" s="184"/>
      <c r="M87" s="57"/>
      <c r="N87" s="57"/>
    </row>
    <row r="88" spans="3:14" ht="18.75">
      <c r="C88" s="56"/>
      <c r="D88" s="57"/>
      <c r="E88" s="57"/>
      <c r="F88" s="184"/>
      <c r="G88" s="57"/>
      <c r="H88" s="57"/>
      <c r="I88" s="184"/>
      <c r="J88" s="57"/>
      <c r="K88" s="57"/>
      <c r="L88" s="184"/>
      <c r="M88" s="57"/>
      <c r="N88" s="57"/>
    </row>
    <row r="89" spans="3:14" ht="18.75">
      <c r="C89" s="56"/>
      <c r="D89" s="57"/>
      <c r="E89" s="57"/>
      <c r="F89" s="184"/>
      <c r="G89" s="57"/>
      <c r="H89" s="57"/>
      <c r="I89" s="184"/>
      <c r="J89" s="57"/>
      <c r="K89" s="57"/>
      <c r="L89" s="184"/>
      <c r="M89" s="57"/>
      <c r="N89" s="57"/>
    </row>
    <row r="90" spans="3:14" ht="18.75">
      <c r="C90" s="56"/>
      <c r="D90" s="57"/>
      <c r="E90" s="57"/>
      <c r="F90" s="184"/>
      <c r="G90" s="57"/>
      <c r="H90" s="57"/>
      <c r="I90" s="184"/>
      <c r="J90" s="57"/>
      <c r="K90" s="57"/>
      <c r="L90" s="184"/>
      <c r="M90" s="57"/>
      <c r="N90" s="57"/>
    </row>
    <row r="91" spans="3:14" ht="18.75">
      <c r="C91" s="56"/>
      <c r="D91" s="57"/>
      <c r="E91" s="57"/>
      <c r="F91" s="184"/>
      <c r="G91" s="57"/>
      <c r="H91" s="57"/>
      <c r="I91" s="184"/>
      <c r="J91" s="57"/>
      <c r="K91" s="57"/>
      <c r="L91" s="184"/>
      <c r="M91" s="57"/>
      <c r="N91" s="57"/>
    </row>
    <row r="92" spans="3:14" ht="18.75">
      <c r="C92" s="56"/>
      <c r="D92" s="57"/>
      <c r="E92" s="57"/>
      <c r="F92" s="184"/>
      <c r="G92" s="57"/>
      <c r="H92" s="57"/>
      <c r="I92" s="184"/>
      <c r="J92" s="57"/>
      <c r="K92" s="57"/>
      <c r="L92" s="184"/>
      <c r="M92" s="57"/>
      <c r="N92" s="57"/>
    </row>
    <row r="93" spans="3:14" ht="18.75">
      <c r="C93" s="56"/>
      <c r="D93" s="57"/>
      <c r="E93" s="57"/>
      <c r="F93" s="184"/>
      <c r="G93" s="57"/>
      <c r="H93" s="57"/>
      <c r="I93" s="184"/>
      <c r="J93" s="57"/>
      <c r="K93" s="57"/>
      <c r="L93" s="184"/>
      <c r="M93" s="57"/>
      <c r="N93" s="57"/>
    </row>
    <row r="94" spans="3:14" ht="18.75">
      <c r="C94" s="56"/>
      <c r="D94" s="57"/>
      <c r="E94" s="57"/>
      <c r="F94" s="184"/>
      <c r="G94" s="57"/>
      <c r="H94" s="57"/>
      <c r="I94" s="184"/>
      <c r="J94" s="57"/>
      <c r="K94" s="57"/>
      <c r="L94" s="184"/>
      <c r="M94" s="57"/>
      <c r="N94" s="57"/>
    </row>
    <row r="95" spans="3:14" ht="18.75">
      <c r="C95" s="56"/>
      <c r="D95" s="57"/>
      <c r="E95" s="57"/>
      <c r="F95" s="184"/>
      <c r="G95" s="57"/>
      <c r="H95" s="57"/>
      <c r="I95" s="184"/>
      <c r="J95" s="57"/>
      <c r="K95" s="57"/>
      <c r="L95" s="184"/>
      <c r="M95" s="57"/>
      <c r="N95" s="57"/>
    </row>
  </sheetData>
  <sheetProtection/>
  <mergeCells count="14">
    <mergeCell ref="M5:M6"/>
    <mergeCell ref="N5:N6"/>
    <mergeCell ref="A46:B46"/>
    <mergeCell ref="I1:N1"/>
    <mergeCell ref="B2:N2"/>
    <mergeCell ref="B3:N3"/>
    <mergeCell ref="B4:F4"/>
    <mergeCell ref="M45:N45"/>
    <mergeCell ref="B45:F45"/>
    <mergeCell ref="D5:F5"/>
    <mergeCell ref="G5:I5"/>
    <mergeCell ref="J5:L5"/>
    <mergeCell ref="B47:F47"/>
    <mergeCell ref="C29:L29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view="pageBreakPreview" zoomScale="80" zoomScaleNormal="50" zoomScaleSheetLayoutView="80" zoomScalePageLayoutView="0" workbookViewId="0" topLeftCell="A1">
      <pane xSplit="6" ySplit="8" topLeftCell="I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P12" sqref="P12"/>
    </sheetView>
  </sheetViews>
  <sheetFormatPr defaultColWidth="7.875" defaultRowHeight="12.75"/>
  <cols>
    <col min="1" max="1" width="6.375" style="8" customWidth="1"/>
    <col min="2" max="2" width="50.125" style="6" customWidth="1"/>
    <col min="3" max="3" width="16.375" style="84" customWidth="1"/>
    <col min="4" max="4" width="17.00390625" style="6" customWidth="1"/>
    <col min="5" max="5" width="15.75390625" style="6" customWidth="1"/>
    <col min="6" max="6" width="11.875" style="22" customWidth="1"/>
    <col min="7" max="7" width="14.75390625" style="6" customWidth="1"/>
    <col min="8" max="8" width="16.00390625" style="6" customWidth="1"/>
    <col min="9" max="9" width="11.125" style="22" customWidth="1"/>
    <col min="10" max="11" width="14.75390625" style="6" customWidth="1"/>
    <col min="12" max="12" width="11.125" style="22" customWidth="1"/>
    <col min="13" max="13" width="16.75390625" style="6" customWidth="1"/>
    <col min="14" max="14" width="18.25390625" style="6" customWidth="1"/>
    <col min="15" max="15" width="11.25390625" style="6" customWidth="1"/>
    <col min="16" max="16" width="13.625" style="6" customWidth="1"/>
    <col min="17" max="16384" width="7.875" style="6" customWidth="1"/>
  </cols>
  <sheetData>
    <row r="1" spans="9:14" ht="22.5" customHeight="1">
      <c r="I1" s="216" t="s">
        <v>51</v>
      </c>
      <c r="J1" s="216"/>
      <c r="K1" s="216"/>
      <c r="L1" s="216"/>
      <c r="M1" s="216"/>
      <c r="N1" s="216"/>
    </row>
    <row r="2" spans="2:14" ht="18.75">
      <c r="B2" s="218" t="s">
        <v>58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ht="18.75">
      <c r="B3" s="197" t="s">
        <v>144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4" ht="19.5" customHeight="1">
      <c r="B4" s="222"/>
      <c r="C4" s="222"/>
      <c r="D4" s="222"/>
      <c r="E4" s="222"/>
      <c r="F4" s="222"/>
      <c r="N4" s="151" t="s">
        <v>7</v>
      </c>
    </row>
    <row r="5" spans="1:14" ht="58.5" customHeight="1">
      <c r="A5" s="64" t="s">
        <v>56</v>
      </c>
      <c r="B5" s="10"/>
      <c r="C5" s="159" t="s">
        <v>1</v>
      </c>
      <c r="D5" s="190" t="s">
        <v>146</v>
      </c>
      <c r="E5" s="191"/>
      <c r="F5" s="192"/>
      <c r="G5" s="210" t="s">
        <v>147</v>
      </c>
      <c r="H5" s="211"/>
      <c r="I5" s="212"/>
      <c r="J5" s="190" t="s">
        <v>148</v>
      </c>
      <c r="K5" s="191"/>
      <c r="L5" s="192"/>
      <c r="M5" s="193" t="s">
        <v>149</v>
      </c>
      <c r="N5" s="193" t="s">
        <v>145</v>
      </c>
    </row>
    <row r="6" spans="1:14" ht="30" customHeight="1">
      <c r="A6" s="65" t="s">
        <v>57</v>
      </c>
      <c r="B6" s="12" t="s">
        <v>89</v>
      </c>
      <c r="C6" s="160" t="s">
        <v>143</v>
      </c>
      <c r="D6" s="11" t="s">
        <v>150</v>
      </c>
      <c r="E6" s="11" t="s">
        <v>91</v>
      </c>
      <c r="F6" s="66" t="s">
        <v>0</v>
      </c>
      <c r="G6" s="11" t="s">
        <v>150</v>
      </c>
      <c r="H6" s="11" t="s">
        <v>91</v>
      </c>
      <c r="I6" s="66" t="s">
        <v>0</v>
      </c>
      <c r="J6" s="11" t="s">
        <v>150</v>
      </c>
      <c r="K6" s="11" t="s">
        <v>91</v>
      </c>
      <c r="L6" s="66" t="s">
        <v>0</v>
      </c>
      <c r="M6" s="194"/>
      <c r="N6" s="194"/>
    </row>
    <row r="7" spans="1:16" s="22" customFormat="1" ht="36" customHeight="1">
      <c r="A7" s="66"/>
      <c r="B7" s="67" t="s">
        <v>9</v>
      </c>
      <c r="C7" s="17">
        <f>SUM(C8:C40)</f>
        <v>23422.000000000007</v>
      </c>
      <c r="D7" s="17">
        <f>SUM(D8:D40)</f>
        <v>15623.799999999997</v>
      </c>
      <c r="E7" s="17">
        <f>SUM(E8:E40)</f>
        <v>16714.9</v>
      </c>
      <c r="F7" s="17">
        <f aca="true" t="shared" si="0" ref="F7:F43">E7/D7*100</f>
        <v>106.98357633866284</v>
      </c>
      <c r="G7" s="17">
        <f>SUM(G8:G40)</f>
        <v>15857.599999999999</v>
      </c>
      <c r="H7" s="17">
        <f>SUM(H8:H40)</f>
        <v>4483.5</v>
      </c>
      <c r="I7" s="17">
        <f aca="true" t="shared" si="1" ref="I7:I43">H7/G7*100</f>
        <v>28.273509232166283</v>
      </c>
      <c r="J7" s="68">
        <f>SUM(J8:J40)</f>
        <v>31481.399999999998</v>
      </c>
      <c r="K7" s="68">
        <f>SUM(K8:K40)</f>
        <v>21198.400000000005</v>
      </c>
      <c r="L7" s="17">
        <f aca="true" t="shared" si="2" ref="L7:L42">K7/J7*100</f>
        <v>67.33626839975354</v>
      </c>
      <c r="M7" s="17">
        <f>SUM(M8:M40)</f>
        <v>10283</v>
      </c>
      <c r="N7" s="17">
        <f>SUM(N8:N40)</f>
        <v>33705</v>
      </c>
      <c r="O7" s="19">
        <f>SUM(M8:M40)</f>
        <v>10283</v>
      </c>
      <c r="P7" s="19">
        <f>SUM(N8:N40)</f>
        <v>33705</v>
      </c>
    </row>
    <row r="8" spans="1:15" ht="24.75" customHeight="1">
      <c r="A8" s="71">
        <v>1</v>
      </c>
      <c r="B8" s="72" t="s">
        <v>61</v>
      </c>
      <c r="C8" s="85">
        <v>2109.5</v>
      </c>
      <c r="D8" s="26">
        <v>1180.3</v>
      </c>
      <c r="E8" s="26">
        <v>650.3</v>
      </c>
      <c r="F8" s="17">
        <f t="shared" si="0"/>
        <v>55.09616199271371</v>
      </c>
      <c r="G8" s="26">
        <v>1128.2</v>
      </c>
      <c r="H8" s="26">
        <v>1459.2</v>
      </c>
      <c r="I8" s="17">
        <f t="shared" si="1"/>
        <v>129.33876972168053</v>
      </c>
      <c r="J8" s="28">
        <f>D8+G8</f>
        <v>2308.5</v>
      </c>
      <c r="K8" s="28">
        <f>E8+H8</f>
        <v>2109.5</v>
      </c>
      <c r="L8" s="17">
        <f t="shared" si="2"/>
        <v>91.3796837773446</v>
      </c>
      <c r="M8" s="28">
        <f>J8-K8</f>
        <v>199</v>
      </c>
      <c r="N8" s="45">
        <f>C8+J8-K8</f>
        <v>2308.5</v>
      </c>
      <c r="O8" s="30"/>
    </row>
    <row r="9" spans="1:15" ht="24.75" customHeight="1">
      <c r="A9" s="71">
        <v>2</v>
      </c>
      <c r="B9" s="74" t="s">
        <v>62</v>
      </c>
      <c r="C9" s="85">
        <v>707.3</v>
      </c>
      <c r="D9" s="26">
        <v>287.9</v>
      </c>
      <c r="E9" s="26">
        <v>707.3</v>
      </c>
      <c r="F9" s="17">
        <f>E9/D9*100</f>
        <v>245.67558179923586</v>
      </c>
      <c r="G9" s="26">
        <v>287</v>
      </c>
      <c r="H9" s="26">
        <v>0</v>
      </c>
      <c r="I9" s="17">
        <f t="shared" si="1"/>
        <v>0</v>
      </c>
      <c r="J9" s="28">
        <f aca="true" t="shared" si="3" ref="J9:K28">D9+G9</f>
        <v>574.9</v>
      </c>
      <c r="K9" s="28">
        <f t="shared" si="3"/>
        <v>707.3</v>
      </c>
      <c r="L9" s="17">
        <f t="shared" si="2"/>
        <v>123.03009218994607</v>
      </c>
      <c r="M9" s="28">
        <f aca="true" t="shared" si="4" ref="M9:M42">J9-K9</f>
        <v>-132.39999999999998</v>
      </c>
      <c r="N9" s="45">
        <f aca="true" t="shared" si="5" ref="N9:N42">C9+J9-K9</f>
        <v>574.8999999999999</v>
      </c>
      <c r="O9" s="30"/>
    </row>
    <row r="10" spans="1:15" ht="24.75" customHeight="1">
      <c r="A10" s="71">
        <v>3</v>
      </c>
      <c r="B10" s="76" t="s">
        <v>135</v>
      </c>
      <c r="C10" s="85">
        <v>98.7</v>
      </c>
      <c r="D10" s="26">
        <v>41.4</v>
      </c>
      <c r="E10" s="26">
        <v>73</v>
      </c>
      <c r="F10" s="17">
        <f>E10/D10*100</f>
        <v>176.32850241545896</v>
      </c>
      <c r="G10" s="26">
        <v>131.1</v>
      </c>
      <c r="H10" s="26">
        <v>0</v>
      </c>
      <c r="I10" s="69">
        <f t="shared" si="1"/>
        <v>0</v>
      </c>
      <c r="J10" s="28">
        <f t="shared" si="3"/>
        <v>172.5</v>
      </c>
      <c r="K10" s="28">
        <f t="shared" si="3"/>
        <v>73</v>
      </c>
      <c r="L10" s="17">
        <f t="shared" si="2"/>
        <v>42.31884057971014</v>
      </c>
      <c r="M10" s="28">
        <f t="shared" si="4"/>
        <v>99.5</v>
      </c>
      <c r="N10" s="45">
        <f t="shared" si="5"/>
        <v>198.2</v>
      </c>
      <c r="O10" s="30"/>
    </row>
    <row r="11" spans="1:15" ht="24.75" customHeight="1">
      <c r="A11" s="71">
        <v>4</v>
      </c>
      <c r="B11" s="72" t="s">
        <v>63</v>
      </c>
      <c r="C11" s="85">
        <v>460.4</v>
      </c>
      <c r="D11" s="26">
        <v>292.1</v>
      </c>
      <c r="E11" s="26">
        <v>194.2</v>
      </c>
      <c r="F11" s="17">
        <f>E11/D11*100</f>
        <v>66.48408079424854</v>
      </c>
      <c r="G11" s="26">
        <v>245.1</v>
      </c>
      <c r="H11" s="26">
        <v>234.4</v>
      </c>
      <c r="I11" s="17">
        <f>H11/G11*100</f>
        <v>95.6344349245206</v>
      </c>
      <c r="J11" s="28">
        <f t="shared" si="3"/>
        <v>537.2</v>
      </c>
      <c r="K11" s="28">
        <f t="shared" si="3"/>
        <v>428.6</v>
      </c>
      <c r="L11" s="17">
        <f t="shared" si="2"/>
        <v>79.78406552494415</v>
      </c>
      <c r="M11" s="28">
        <f t="shared" si="4"/>
        <v>108.60000000000002</v>
      </c>
      <c r="N11" s="45">
        <f t="shared" si="5"/>
        <v>569</v>
      </c>
      <c r="O11" s="30"/>
    </row>
    <row r="12" spans="1:15" ht="24.75" customHeight="1">
      <c r="A12" s="71">
        <v>5</v>
      </c>
      <c r="B12" s="72" t="s">
        <v>64</v>
      </c>
      <c r="C12" s="85">
        <v>568.2</v>
      </c>
      <c r="D12" s="26">
        <v>343.2</v>
      </c>
      <c r="E12" s="26">
        <v>507.9</v>
      </c>
      <c r="F12" s="17">
        <f>E12/D12*100</f>
        <v>147.98951048951048</v>
      </c>
      <c r="G12" s="26">
        <v>355.2</v>
      </c>
      <c r="H12" s="26">
        <v>0</v>
      </c>
      <c r="I12" s="17">
        <f>H12/G12*100</f>
        <v>0</v>
      </c>
      <c r="J12" s="28">
        <f t="shared" si="3"/>
        <v>698.4</v>
      </c>
      <c r="K12" s="28">
        <f t="shared" si="3"/>
        <v>507.9</v>
      </c>
      <c r="L12" s="17">
        <f t="shared" si="2"/>
        <v>72.7233676975945</v>
      </c>
      <c r="M12" s="28">
        <f t="shared" si="4"/>
        <v>190.5</v>
      </c>
      <c r="N12" s="45">
        <f t="shared" si="5"/>
        <v>758.6999999999999</v>
      </c>
      <c r="O12" s="30"/>
    </row>
    <row r="13" spans="1:15" ht="24.75" customHeight="1">
      <c r="A13" s="71">
        <v>6</v>
      </c>
      <c r="B13" s="72" t="s">
        <v>65</v>
      </c>
      <c r="C13" s="85">
        <v>985.1</v>
      </c>
      <c r="D13" s="26">
        <v>376.4</v>
      </c>
      <c r="E13" s="26">
        <v>170.8</v>
      </c>
      <c r="F13" s="17">
        <f t="shared" si="0"/>
        <v>45.37725823591924</v>
      </c>
      <c r="G13" s="26">
        <v>374.4</v>
      </c>
      <c r="H13" s="26">
        <v>0</v>
      </c>
      <c r="I13" s="69">
        <f t="shared" si="1"/>
        <v>0</v>
      </c>
      <c r="J13" s="28">
        <f t="shared" si="3"/>
        <v>750.8</v>
      </c>
      <c r="K13" s="28">
        <f t="shared" si="3"/>
        <v>170.8</v>
      </c>
      <c r="L13" s="17">
        <f t="shared" si="2"/>
        <v>22.749067661161433</v>
      </c>
      <c r="M13" s="28">
        <f t="shared" si="4"/>
        <v>580</v>
      </c>
      <c r="N13" s="45">
        <f t="shared" si="5"/>
        <v>1565.1000000000001</v>
      </c>
      <c r="O13" s="30"/>
    </row>
    <row r="14" spans="1:15" ht="24.75" customHeight="1">
      <c r="A14" s="71">
        <v>7</v>
      </c>
      <c r="B14" s="72" t="s">
        <v>66</v>
      </c>
      <c r="C14" s="85">
        <v>153.5</v>
      </c>
      <c r="D14" s="26">
        <v>153</v>
      </c>
      <c r="E14" s="26">
        <v>147.2</v>
      </c>
      <c r="F14" s="17">
        <f t="shared" si="0"/>
        <v>96.20915032679737</v>
      </c>
      <c r="G14" s="26">
        <v>153.5</v>
      </c>
      <c r="H14" s="26">
        <v>0</v>
      </c>
      <c r="I14" s="17">
        <f t="shared" si="1"/>
        <v>0</v>
      </c>
      <c r="J14" s="28">
        <f t="shared" si="3"/>
        <v>306.5</v>
      </c>
      <c r="K14" s="28">
        <f t="shared" si="3"/>
        <v>147.2</v>
      </c>
      <c r="L14" s="17">
        <f t="shared" si="2"/>
        <v>48.026101141924954</v>
      </c>
      <c r="M14" s="28">
        <f t="shared" si="4"/>
        <v>159.3</v>
      </c>
      <c r="N14" s="45">
        <f t="shared" si="5"/>
        <v>312.8</v>
      </c>
      <c r="O14" s="30"/>
    </row>
    <row r="15" spans="1:15" ht="24.75" customHeight="1">
      <c r="A15" s="71">
        <v>8</v>
      </c>
      <c r="B15" s="72" t="s">
        <v>67</v>
      </c>
      <c r="C15" s="85">
        <v>469.4</v>
      </c>
      <c r="D15" s="26">
        <v>438.4</v>
      </c>
      <c r="E15" s="26">
        <v>329.6</v>
      </c>
      <c r="F15" s="17">
        <f t="shared" si="0"/>
        <v>75.18248175182482</v>
      </c>
      <c r="G15" s="26">
        <v>475.3</v>
      </c>
      <c r="H15" s="26">
        <v>0</v>
      </c>
      <c r="I15" s="69">
        <f t="shared" si="1"/>
        <v>0</v>
      </c>
      <c r="J15" s="28">
        <f t="shared" si="3"/>
        <v>913.7</v>
      </c>
      <c r="K15" s="28">
        <f t="shared" si="3"/>
        <v>329.6</v>
      </c>
      <c r="L15" s="17">
        <f t="shared" si="2"/>
        <v>36.073109335668164</v>
      </c>
      <c r="M15" s="28">
        <f t="shared" si="4"/>
        <v>584.1</v>
      </c>
      <c r="N15" s="45">
        <f t="shared" si="5"/>
        <v>1053.5</v>
      </c>
      <c r="O15" s="30"/>
    </row>
    <row r="16" spans="1:15" ht="24.75" customHeight="1">
      <c r="A16" s="71">
        <v>9</v>
      </c>
      <c r="B16" s="72" t="s">
        <v>68</v>
      </c>
      <c r="C16" s="85">
        <v>66.3</v>
      </c>
      <c r="D16" s="26">
        <v>41.3</v>
      </c>
      <c r="E16" s="26">
        <v>66.3</v>
      </c>
      <c r="F16" s="17">
        <f t="shared" si="0"/>
        <v>160.53268765133174</v>
      </c>
      <c r="G16" s="26">
        <v>33.9</v>
      </c>
      <c r="H16" s="26">
        <v>0</v>
      </c>
      <c r="I16" s="17">
        <f t="shared" si="1"/>
        <v>0</v>
      </c>
      <c r="J16" s="28">
        <f t="shared" si="3"/>
        <v>75.19999999999999</v>
      </c>
      <c r="K16" s="28">
        <f t="shared" si="3"/>
        <v>66.3</v>
      </c>
      <c r="L16" s="17">
        <f t="shared" si="2"/>
        <v>88.16489361702129</v>
      </c>
      <c r="M16" s="28">
        <f t="shared" si="4"/>
        <v>8.899999999999991</v>
      </c>
      <c r="N16" s="45">
        <f t="shared" si="5"/>
        <v>75.2</v>
      </c>
      <c r="O16" s="30"/>
    </row>
    <row r="17" spans="1:15" ht="24.75" customHeight="1">
      <c r="A17" s="71">
        <v>10</v>
      </c>
      <c r="B17" s="76" t="s">
        <v>2</v>
      </c>
      <c r="C17" s="85">
        <f>371.4+121.7</f>
        <v>493.09999999999997</v>
      </c>
      <c r="D17" s="26">
        <f>193+63.7</f>
        <v>256.7</v>
      </c>
      <c r="E17" s="26">
        <f>198.2+121.7</f>
        <v>319.9</v>
      </c>
      <c r="F17" s="17">
        <f t="shared" si="0"/>
        <v>124.62017919750681</v>
      </c>
      <c r="G17" s="26">
        <f>145.7+62.4</f>
        <v>208.1</v>
      </c>
      <c r="H17" s="26">
        <v>236.9</v>
      </c>
      <c r="I17" s="17">
        <f t="shared" si="1"/>
        <v>113.8395002402691</v>
      </c>
      <c r="J17" s="28">
        <f t="shared" si="3"/>
        <v>464.79999999999995</v>
      </c>
      <c r="K17" s="28">
        <f t="shared" si="3"/>
        <v>556.8</v>
      </c>
      <c r="L17" s="17">
        <f t="shared" si="2"/>
        <v>119.79345955249569</v>
      </c>
      <c r="M17" s="28">
        <f t="shared" si="4"/>
        <v>-92</v>
      </c>
      <c r="N17" s="45">
        <f t="shared" si="5"/>
        <v>401.0999999999999</v>
      </c>
      <c r="O17" s="30"/>
    </row>
    <row r="18" spans="1:15" ht="24.75" customHeight="1">
      <c r="A18" s="71">
        <v>11</v>
      </c>
      <c r="B18" s="77" t="s">
        <v>69</v>
      </c>
      <c r="C18" s="85">
        <v>429.1</v>
      </c>
      <c r="D18" s="26">
        <v>171.9</v>
      </c>
      <c r="E18" s="26">
        <v>373.8</v>
      </c>
      <c r="F18" s="17">
        <f t="shared" si="0"/>
        <v>217.4520069808028</v>
      </c>
      <c r="G18" s="26">
        <v>171.5</v>
      </c>
      <c r="H18" s="26">
        <v>0</v>
      </c>
      <c r="I18" s="17">
        <f t="shared" si="1"/>
        <v>0</v>
      </c>
      <c r="J18" s="28">
        <f t="shared" si="3"/>
        <v>343.4</v>
      </c>
      <c r="K18" s="28">
        <f t="shared" si="3"/>
        <v>373.8</v>
      </c>
      <c r="L18" s="17">
        <f t="shared" si="2"/>
        <v>108.85264997087944</v>
      </c>
      <c r="M18" s="28">
        <f t="shared" si="4"/>
        <v>-30.400000000000034</v>
      </c>
      <c r="N18" s="45">
        <f t="shared" si="5"/>
        <v>398.7</v>
      </c>
      <c r="O18" s="30"/>
    </row>
    <row r="19" spans="1:15" ht="24.75" customHeight="1">
      <c r="A19" s="71">
        <v>12</v>
      </c>
      <c r="B19" s="72" t="s">
        <v>70</v>
      </c>
      <c r="C19" s="85">
        <v>726.2</v>
      </c>
      <c r="D19" s="26">
        <v>415</v>
      </c>
      <c r="E19" s="26">
        <v>157.1</v>
      </c>
      <c r="F19" s="17">
        <f t="shared" si="0"/>
        <v>37.855421686746986</v>
      </c>
      <c r="G19" s="26">
        <v>441</v>
      </c>
      <c r="H19" s="26">
        <v>0</v>
      </c>
      <c r="I19" s="69">
        <f t="shared" si="1"/>
        <v>0</v>
      </c>
      <c r="J19" s="28">
        <f t="shared" si="3"/>
        <v>856</v>
      </c>
      <c r="K19" s="28">
        <f t="shared" si="3"/>
        <v>157.1</v>
      </c>
      <c r="L19" s="17">
        <f t="shared" si="2"/>
        <v>18.352803738317753</v>
      </c>
      <c r="M19" s="28">
        <f t="shared" si="4"/>
        <v>698.9</v>
      </c>
      <c r="N19" s="45">
        <f t="shared" si="5"/>
        <v>1425.1000000000001</v>
      </c>
      <c r="O19" s="30"/>
    </row>
    <row r="20" spans="1:15" ht="24.75" customHeight="1">
      <c r="A20" s="71">
        <v>13</v>
      </c>
      <c r="B20" s="77" t="s">
        <v>71</v>
      </c>
      <c r="C20" s="85">
        <v>207.5</v>
      </c>
      <c r="D20" s="26">
        <v>119.7</v>
      </c>
      <c r="E20" s="26">
        <v>207.5</v>
      </c>
      <c r="F20" s="17">
        <f t="shared" si="0"/>
        <v>173.3500417710944</v>
      </c>
      <c r="G20" s="26">
        <v>108.7</v>
      </c>
      <c r="H20" s="26">
        <v>0</v>
      </c>
      <c r="I20" s="69">
        <f t="shared" si="1"/>
        <v>0</v>
      </c>
      <c r="J20" s="28">
        <f t="shared" si="3"/>
        <v>228.4</v>
      </c>
      <c r="K20" s="28">
        <f t="shared" si="3"/>
        <v>207.5</v>
      </c>
      <c r="L20" s="17">
        <f t="shared" si="2"/>
        <v>90.8493870402802</v>
      </c>
      <c r="M20" s="28">
        <f t="shared" si="4"/>
        <v>20.900000000000006</v>
      </c>
      <c r="N20" s="45">
        <f t="shared" si="5"/>
        <v>228.39999999999998</v>
      </c>
      <c r="O20" s="30"/>
    </row>
    <row r="21" spans="1:15" ht="24.75" customHeight="1">
      <c r="A21" s="71">
        <v>14</v>
      </c>
      <c r="B21" s="77" t="s">
        <v>72</v>
      </c>
      <c r="C21" s="85">
        <v>55.2</v>
      </c>
      <c r="D21" s="26">
        <v>26.4</v>
      </c>
      <c r="E21" s="26">
        <v>55.2</v>
      </c>
      <c r="F21" s="68">
        <f t="shared" si="0"/>
        <v>209.09090909090912</v>
      </c>
      <c r="G21" s="26">
        <v>25.3</v>
      </c>
      <c r="H21" s="26">
        <v>0</v>
      </c>
      <c r="I21" s="69">
        <f t="shared" si="1"/>
        <v>0</v>
      </c>
      <c r="J21" s="28">
        <f t="shared" si="3"/>
        <v>51.7</v>
      </c>
      <c r="K21" s="28">
        <f t="shared" si="3"/>
        <v>55.2</v>
      </c>
      <c r="L21" s="17">
        <f t="shared" si="2"/>
        <v>106.7698259187621</v>
      </c>
      <c r="M21" s="28">
        <f t="shared" si="4"/>
        <v>-3.5</v>
      </c>
      <c r="N21" s="45">
        <f t="shared" si="5"/>
        <v>51.7</v>
      </c>
      <c r="O21" s="30"/>
    </row>
    <row r="22" spans="1:15" ht="24.75" customHeight="1">
      <c r="A22" s="71">
        <v>15</v>
      </c>
      <c r="B22" s="77" t="s">
        <v>50</v>
      </c>
      <c r="C22" s="85">
        <v>394.3</v>
      </c>
      <c r="D22" s="26">
        <v>144</v>
      </c>
      <c r="E22" s="26">
        <v>337.9</v>
      </c>
      <c r="F22" s="68">
        <f t="shared" si="0"/>
        <v>234.65277777777777</v>
      </c>
      <c r="G22" s="26">
        <v>205.1</v>
      </c>
      <c r="H22" s="26">
        <v>6.2</v>
      </c>
      <c r="I22" s="69">
        <f t="shared" si="1"/>
        <v>3.022915650901999</v>
      </c>
      <c r="J22" s="28">
        <f t="shared" si="3"/>
        <v>349.1</v>
      </c>
      <c r="K22" s="28">
        <f t="shared" si="3"/>
        <v>344.09999999999997</v>
      </c>
      <c r="L22" s="17">
        <f t="shared" si="2"/>
        <v>98.56774563162416</v>
      </c>
      <c r="M22" s="28">
        <f t="shared" si="4"/>
        <v>5.000000000000057</v>
      </c>
      <c r="N22" s="45">
        <f t="shared" si="5"/>
        <v>399.3000000000001</v>
      </c>
      <c r="O22" s="30"/>
    </row>
    <row r="23" spans="1:15" ht="24.75" customHeight="1">
      <c r="A23" s="71">
        <v>16</v>
      </c>
      <c r="B23" s="77" t="s">
        <v>13</v>
      </c>
      <c r="C23" s="85">
        <v>67.3</v>
      </c>
      <c r="D23" s="26">
        <v>27.5</v>
      </c>
      <c r="E23" s="26">
        <v>58.1</v>
      </c>
      <c r="F23" s="17">
        <f t="shared" si="0"/>
        <v>211.27272727272728</v>
      </c>
      <c r="G23" s="26">
        <v>28</v>
      </c>
      <c r="H23" s="26">
        <v>0</v>
      </c>
      <c r="I23" s="17">
        <f t="shared" si="1"/>
        <v>0</v>
      </c>
      <c r="J23" s="28">
        <f t="shared" si="3"/>
        <v>55.5</v>
      </c>
      <c r="K23" s="28">
        <f t="shared" si="3"/>
        <v>58.1</v>
      </c>
      <c r="L23" s="17">
        <f t="shared" si="2"/>
        <v>104.68468468468468</v>
      </c>
      <c r="M23" s="28">
        <f t="shared" si="4"/>
        <v>-2.6000000000000014</v>
      </c>
      <c r="N23" s="45">
        <f t="shared" si="5"/>
        <v>64.69999999999999</v>
      </c>
      <c r="O23" s="30"/>
    </row>
    <row r="24" spans="1:15" ht="24.75" customHeight="1">
      <c r="A24" s="71">
        <v>17</v>
      </c>
      <c r="B24" s="77" t="s">
        <v>49</v>
      </c>
      <c r="C24" s="85">
        <v>2297.9</v>
      </c>
      <c r="D24" s="26">
        <v>1089.5</v>
      </c>
      <c r="E24" s="26">
        <v>1984.8</v>
      </c>
      <c r="F24" s="17">
        <f t="shared" si="0"/>
        <v>182.17530977512618</v>
      </c>
      <c r="G24" s="26">
        <v>1076.8</v>
      </c>
      <c r="H24" s="26">
        <v>0</v>
      </c>
      <c r="I24" s="17">
        <f t="shared" si="1"/>
        <v>0</v>
      </c>
      <c r="J24" s="28">
        <f t="shared" si="3"/>
        <v>2166.3</v>
      </c>
      <c r="K24" s="28">
        <f t="shared" si="3"/>
        <v>1984.8</v>
      </c>
      <c r="L24" s="17">
        <f t="shared" si="2"/>
        <v>91.62165904999307</v>
      </c>
      <c r="M24" s="28">
        <f t="shared" si="4"/>
        <v>181.50000000000023</v>
      </c>
      <c r="N24" s="45">
        <f t="shared" si="5"/>
        <v>2479.4000000000005</v>
      </c>
      <c r="O24" s="30"/>
    </row>
    <row r="25" spans="1:15" ht="24.75" customHeight="1">
      <c r="A25" s="71">
        <v>18</v>
      </c>
      <c r="B25" s="72" t="s">
        <v>52</v>
      </c>
      <c r="C25" s="85">
        <v>480.1</v>
      </c>
      <c r="D25" s="26">
        <v>242</v>
      </c>
      <c r="E25" s="26">
        <v>389.2</v>
      </c>
      <c r="F25" s="17">
        <f t="shared" si="0"/>
        <v>160.82644628099175</v>
      </c>
      <c r="G25" s="26">
        <v>272.7</v>
      </c>
      <c r="H25" s="26">
        <v>0</v>
      </c>
      <c r="I25" s="17">
        <f t="shared" si="1"/>
        <v>0</v>
      </c>
      <c r="J25" s="28">
        <f t="shared" si="3"/>
        <v>514.7</v>
      </c>
      <c r="K25" s="28">
        <f t="shared" si="3"/>
        <v>389.2</v>
      </c>
      <c r="L25" s="17">
        <f t="shared" si="2"/>
        <v>75.61686419273363</v>
      </c>
      <c r="M25" s="28">
        <f t="shared" si="4"/>
        <v>125.50000000000006</v>
      </c>
      <c r="N25" s="45">
        <f t="shared" si="5"/>
        <v>605.6000000000001</v>
      </c>
      <c r="O25" s="30"/>
    </row>
    <row r="26" spans="1:15" ht="24.75" customHeight="1">
      <c r="A26" s="71">
        <v>19</v>
      </c>
      <c r="B26" s="77" t="s">
        <v>73</v>
      </c>
      <c r="C26" s="85">
        <v>30.2</v>
      </c>
      <c r="D26" s="26">
        <v>11.6</v>
      </c>
      <c r="E26" s="26">
        <v>0</v>
      </c>
      <c r="F26" s="17">
        <f t="shared" si="0"/>
        <v>0</v>
      </c>
      <c r="G26" s="26">
        <v>11.8</v>
      </c>
      <c r="H26" s="26">
        <v>30.2</v>
      </c>
      <c r="I26" s="17">
        <f t="shared" si="1"/>
        <v>255.9322033898305</v>
      </c>
      <c r="J26" s="28">
        <f t="shared" si="3"/>
        <v>23.4</v>
      </c>
      <c r="K26" s="28">
        <f t="shared" si="3"/>
        <v>30.2</v>
      </c>
      <c r="L26" s="17">
        <f t="shared" si="2"/>
        <v>129.05982905982907</v>
      </c>
      <c r="M26" s="28">
        <f t="shared" si="4"/>
        <v>-6.800000000000001</v>
      </c>
      <c r="N26" s="45">
        <f t="shared" si="5"/>
        <v>23.399999999999995</v>
      </c>
      <c r="O26" s="30"/>
    </row>
    <row r="27" spans="1:15" ht="24.75" customHeight="1">
      <c r="A27" s="71">
        <v>20</v>
      </c>
      <c r="B27" s="77" t="s">
        <v>74</v>
      </c>
      <c r="C27" s="85">
        <v>1147.2</v>
      </c>
      <c r="D27" s="26">
        <v>531.9</v>
      </c>
      <c r="E27" s="26">
        <v>1147.3</v>
      </c>
      <c r="F27" s="17">
        <f t="shared" si="0"/>
        <v>215.69843955630756</v>
      </c>
      <c r="G27" s="26">
        <v>545.7</v>
      </c>
      <c r="H27" s="26">
        <v>0</v>
      </c>
      <c r="I27" s="17">
        <f t="shared" si="1"/>
        <v>0</v>
      </c>
      <c r="J27" s="28">
        <f t="shared" si="3"/>
        <v>1077.6</v>
      </c>
      <c r="K27" s="28">
        <f t="shared" si="3"/>
        <v>1147.3</v>
      </c>
      <c r="L27" s="17">
        <f t="shared" si="2"/>
        <v>106.46807720861173</v>
      </c>
      <c r="M27" s="28">
        <f t="shared" si="4"/>
        <v>-69.70000000000005</v>
      </c>
      <c r="N27" s="45">
        <f t="shared" si="5"/>
        <v>1077.5000000000002</v>
      </c>
      <c r="O27" s="30"/>
    </row>
    <row r="28" spans="1:15" ht="24.75" customHeight="1">
      <c r="A28" s="71">
        <v>21</v>
      </c>
      <c r="B28" s="72" t="s">
        <v>75</v>
      </c>
      <c r="C28" s="85">
        <v>309</v>
      </c>
      <c r="D28" s="26">
        <v>89.8</v>
      </c>
      <c r="E28" s="26">
        <v>88</v>
      </c>
      <c r="F28" s="17">
        <f t="shared" si="0"/>
        <v>97.9955456570156</v>
      </c>
      <c r="G28" s="26">
        <v>137</v>
      </c>
      <c r="H28" s="26">
        <v>0</v>
      </c>
      <c r="I28" s="17">
        <f t="shared" si="1"/>
        <v>0</v>
      </c>
      <c r="J28" s="28">
        <f t="shared" si="3"/>
        <v>226.8</v>
      </c>
      <c r="K28" s="28">
        <f t="shared" si="3"/>
        <v>88</v>
      </c>
      <c r="L28" s="17">
        <f t="shared" si="2"/>
        <v>38.80070546737213</v>
      </c>
      <c r="M28" s="28">
        <f t="shared" si="4"/>
        <v>138.8</v>
      </c>
      <c r="N28" s="45">
        <f t="shared" si="5"/>
        <v>447.79999999999995</v>
      </c>
      <c r="O28" s="30"/>
    </row>
    <row r="29" spans="1:15" ht="24.75" customHeight="1">
      <c r="A29" s="71">
        <v>22</v>
      </c>
      <c r="B29" s="72" t="s">
        <v>3</v>
      </c>
      <c r="C29" s="219" t="s">
        <v>12</v>
      </c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6"/>
      <c r="O29" s="30"/>
    </row>
    <row r="30" spans="1:15" ht="26.25" customHeight="1">
      <c r="A30" s="71">
        <v>23</v>
      </c>
      <c r="B30" s="77" t="s">
        <v>48</v>
      </c>
      <c r="C30" s="85">
        <v>226.6</v>
      </c>
      <c r="D30" s="26">
        <v>90</v>
      </c>
      <c r="E30" s="26">
        <v>187.2</v>
      </c>
      <c r="F30" s="17">
        <f t="shared" si="0"/>
        <v>208</v>
      </c>
      <c r="G30" s="26">
        <v>90</v>
      </c>
      <c r="H30" s="26">
        <v>0</v>
      </c>
      <c r="I30" s="69">
        <f t="shared" si="1"/>
        <v>0</v>
      </c>
      <c r="J30" s="28">
        <f aca="true" t="shared" si="6" ref="J30:K40">D30+G30</f>
        <v>180</v>
      </c>
      <c r="K30" s="28">
        <f t="shared" si="6"/>
        <v>187.2</v>
      </c>
      <c r="L30" s="17">
        <f t="shared" si="2"/>
        <v>104</v>
      </c>
      <c r="M30" s="28">
        <f t="shared" si="4"/>
        <v>-7.199999999999989</v>
      </c>
      <c r="N30" s="45">
        <f t="shared" si="5"/>
        <v>219.40000000000003</v>
      </c>
      <c r="O30" s="30"/>
    </row>
    <row r="31" spans="1:15" ht="24.75" customHeight="1">
      <c r="A31" s="71">
        <v>24</v>
      </c>
      <c r="B31" s="77" t="s">
        <v>4</v>
      </c>
      <c r="C31" s="85">
        <v>353</v>
      </c>
      <c r="D31" s="26">
        <v>165.5</v>
      </c>
      <c r="E31" s="26">
        <v>308.1</v>
      </c>
      <c r="F31" s="17">
        <f t="shared" si="0"/>
        <v>186.1631419939577</v>
      </c>
      <c r="G31" s="26">
        <v>159.2</v>
      </c>
      <c r="H31" s="26"/>
      <c r="I31" s="17">
        <f t="shared" si="1"/>
        <v>0</v>
      </c>
      <c r="J31" s="28">
        <f t="shared" si="6"/>
        <v>324.7</v>
      </c>
      <c r="K31" s="28">
        <f t="shared" si="6"/>
        <v>308.1</v>
      </c>
      <c r="L31" s="17">
        <f t="shared" si="2"/>
        <v>94.88758854327072</v>
      </c>
      <c r="M31" s="28">
        <f t="shared" si="4"/>
        <v>16.599999999999966</v>
      </c>
      <c r="N31" s="45">
        <f t="shared" si="5"/>
        <v>369.6</v>
      </c>
      <c r="O31" s="30"/>
    </row>
    <row r="32" spans="1:15" ht="24.75" customHeight="1">
      <c r="A32" s="71">
        <v>25</v>
      </c>
      <c r="B32" s="77" t="s">
        <v>5</v>
      </c>
      <c r="C32" s="85">
        <v>610.3</v>
      </c>
      <c r="D32" s="26">
        <v>629.3</v>
      </c>
      <c r="E32" s="26">
        <v>619.6</v>
      </c>
      <c r="F32" s="17">
        <f>E32/D32*100</f>
        <v>98.458604798983</v>
      </c>
      <c r="G32" s="26">
        <v>791.8</v>
      </c>
      <c r="H32" s="26">
        <v>0</v>
      </c>
      <c r="I32" s="17">
        <f t="shared" si="1"/>
        <v>0</v>
      </c>
      <c r="J32" s="28">
        <f t="shared" si="6"/>
        <v>1421.1</v>
      </c>
      <c r="K32" s="28">
        <f t="shared" si="6"/>
        <v>619.6</v>
      </c>
      <c r="L32" s="17">
        <f t="shared" si="2"/>
        <v>43.60002814720991</v>
      </c>
      <c r="M32" s="28">
        <f t="shared" si="4"/>
        <v>801.4999999999999</v>
      </c>
      <c r="N32" s="45">
        <f t="shared" si="5"/>
        <v>1411.7999999999997</v>
      </c>
      <c r="O32" s="30"/>
    </row>
    <row r="33" spans="1:15" ht="24.75" customHeight="1">
      <c r="A33" s="71">
        <v>26</v>
      </c>
      <c r="B33" s="77" t="s">
        <v>76</v>
      </c>
      <c r="C33" s="86">
        <v>661.1</v>
      </c>
      <c r="D33" s="42">
        <v>315.3</v>
      </c>
      <c r="E33" s="42">
        <v>539.4</v>
      </c>
      <c r="F33" s="17">
        <f t="shared" si="0"/>
        <v>171.0751665080875</v>
      </c>
      <c r="G33" s="26">
        <v>312.3</v>
      </c>
      <c r="H33" s="26">
        <v>68</v>
      </c>
      <c r="I33" s="17">
        <f t="shared" si="1"/>
        <v>21.773935318603908</v>
      </c>
      <c r="J33" s="28">
        <f t="shared" si="6"/>
        <v>627.6</v>
      </c>
      <c r="K33" s="28">
        <f t="shared" si="6"/>
        <v>607.4</v>
      </c>
      <c r="L33" s="17">
        <f t="shared" si="2"/>
        <v>96.78138942001274</v>
      </c>
      <c r="M33" s="28">
        <f t="shared" si="4"/>
        <v>20.200000000000045</v>
      </c>
      <c r="N33" s="45">
        <f t="shared" si="5"/>
        <v>681.3000000000001</v>
      </c>
      <c r="O33" s="30"/>
    </row>
    <row r="34" spans="1:15" ht="24.75" customHeight="1">
      <c r="A34" s="71">
        <v>27</v>
      </c>
      <c r="B34" s="72" t="s">
        <v>77</v>
      </c>
      <c r="C34" s="85">
        <v>509.7</v>
      </c>
      <c r="D34" s="37">
        <v>233.9</v>
      </c>
      <c r="E34" s="37">
        <v>509.7</v>
      </c>
      <c r="F34" s="17">
        <f t="shared" si="0"/>
        <v>217.91363830696878</v>
      </c>
      <c r="G34" s="26">
        <v>230.2</v>
      </c>
      <c r="H34" s="26">
        <v>0</v>
      </c>
      <c r="I34" s="69">
        <f t="shared" si="1"/>
        <v>0</v>
      </c>
      <c r="J34" s="28">
        <f t="shared" si="6"/>
        <v>464.1</v>
      </c>
      <c r="K34" s="28">
        <f t="shared" si="6"/>
        <v>509.7</v>
      </c>
      <c r="L34" s="17">
        <f t="shared" si="2"/>
        <v>109.82546864899805</v>
      </c>
      <c r="M34" s="28">
        <f t="shared" si="4"/>
        <v>-45.599999999999966</v>
      </c>
      <c r="N34" s="45">
        <f t="shared" si="5"/>
        <v>464.09999999999997</v>
      </c>
      <c r="O34" s="30"/>
    </row>
    <row r="35" spans="1:15" ht="24.75" customHeight="1">
      <c r="A35" s="71">
        <v>28</v>
      </c>
      <c r="B35" s="77" t="s">
        <v>78</v>
      </c>
      <c r="C35" s="85">
        <v>1862.6</v>
      </c>
      <c r="D35" s="26">
        <v>1641.3</v>
      </c>
      <c r="E35" s="26">
        <v>459</v>
      </c>
      <c r="F35" s="17">
        <f t="shared" si="0"/>
        <v>27.96563699506489</v>
      </c>
      <c r="G35" s="26">
        <v>1615.7</v>
      </c>
      <c r="H35" s="26">
        <v>1139.4</v>
      </c>
      <c r="I35" s="17">
        <f t="shared" si="1"/>
        <v>70.52051742278888</v>
      </c>
      <c r="J35" s="28">
        <f t="shared" si="6"/>
        <v>3257</v>
      </c>
      <c r="K35" s="28">
        <f t="shared" si="6"/>
        <v>1598.4</v>
      </c>
      <c r="L35" s="17">
        <f t="shared" si="2"/>
        <v>49.07583665950261</v>
      </c>
      <c r="M35" s="28">
        <f t="shared" si="4"/>
        <v>1658.6</v>
      </c>
      <c r="N35" s="45">
        <f t="shared" si="5"/>
        <v>3521.2000000000003</v>
      </c>
      <c r="O35" s="30"/>
    </row>
    <row r="36" spans="1:15" ht="24.75" customHeight="1">
      <c r="A36" s="71">
        <v>29</v>
      </c>
      <c r="B36" s="77" t="s">
        <v>59</v>
      </c>
      <c r="C36" s="85">
        <f>1494.8+31.1</f>
        <v>1525.8999999999999</v>
      </c>
      <c r="D36" s="26">
        <f>1419.1+30.7</f>
        <v>1449.8</v>
      </c>
      <c r="E36" s="26">
        <f>852+31.1</f>
        <v>883.1</v>
      </c>
      <c r="F36" s="17">
        <f t="shared" si="0"/>
        <v>60.911849910332464</v>
      </c>
      <c r="G36" s="26">
        <f>1416.7+29.8</f>
        <v>1446.5</v>
      </c>
      <c r="H36" s="26">
        <f>642.8+0</f>
        <v>642.8</v>
      </c>
      <c r="I36" s="17">
        <f t="shared" si="1"/>
        <v>44.438299343242306</v>
      </c>
      <c r="J36" s="28">
        <f t="shared" si="6"/>
        <v>2896.3</v>
      </c>
      <c r="K36" s="28">
        <f t="shared" si="6"/>
        <v>1525.9</v>
      </c>
      <c r="L36" s="17">
        <f t="shared" si="2"/>
        <v>52.684459482788384</v>
      </c>
      <c r="M36" s="28">
        <f t="shared" si="4"/>
        <v>1370.4</v>
      </c>
      <c r="N36" s="45">
        <f t="shared" si="5"/>
        <v>2896.2999999999997</v>
      </c>
      <c r="O36" s="30"/>
    </row>
    <row r="37" spans="1:15" ht="24.75" customHeight="1">
      <c r="A37" s="71">
        <v>30</v>
      </c>
      <c r="B37" s="77" t="s">
        <v>11</v>
      </c>
      <c r="C37" s="85">
        <v>2599.9</v>
      </c>
      <c r="D37" s="26">
        <v>2567.9</v>
      </c>
      <c r="E37" s="26">
        <v>2552.9</v>
      </c>
      <c r="F37" s="17">
        <f t="shared" si="0"/>
        <v>99.4158651037813</v>
      </c>
      <c r="G37" s="26">
        <v>2585</v>
      </c>
      <c r="H37" s="26">
        <v>0</v>
      </c>
      <c r="I37" s="17">
        <f t="shared" si="1"/>
        <v>0</v>
      </c>
      <c r="J37" s="28">
        <f t="shared" si="6"/>
        <v>5152.9</v>
      </c>
      <c r="K37" s="28">
        <f t="shared" si="6"/>
        <v>2552.9</v>
      </c>
      <c r="L37" s="17">
        <f t="shared" si="2"/>
        <v>49.54297580003494</v>
      </c>
      <c r="M37" s="28">
        <f t="shared" si="4"/>
        <v>2599.9999999999995</v>
      </c>
      <c r="N37" s="45">
        <f t="shared" si="5"/>
        <v>5199.9</v>
      </c>
      <c r="O37" s="30"/>
    </row>
    <row r="38" spans="1:15" ht="24.75" customHeight="1">
      <c r="A38" s="71">
        <v>31</v>
      </c>
      <c r="B38" s="77" t="s">
        <v>79</v>
      </c>
      <c r="C38" s="85">
        <v>233.9</v>
      </c>
      <c r="D38" s="26">
        <v>260</v>
      </c>
      <c r="E38" s="26">
        <v>182.9</v>
      </c>
      <c r="F38" s="17">
        <f t="shared" si="0"/>
        <v>70.34615384615385</v>
      </c>
      <c r="G38" s="26">
        <v>235.3</v>
      </c>
      <c r="H38" s="26">
        <v>0</v>
      </c>
      <c r="I38" s="17">
        <f t="shared" si="1"/>
        <v>0</v>
      </c>
      <c r="J38" s="28">
        <f t="shared" si="6"/>
        <v>495.3</v>
      </c>
      <c r="K38" s="28">
        <f t="shared" si="6"/>
        <v>182.9</v>
      </c>
      <c r="L38" s="17">
        <f t="shared" si="2"/>
        <v>36.927114879870786</v>
      </c>
      <c r="M38" s="28">
        <f t="shared" si="4"/>
        <v>312.4</v>
      </c>
      <c r="N38" s="45">
        <f t="shared" si="5"/>
        <v>546.3000000000001</v>
      </c>
      <c r="O38" s="30"/>
    </row>
    <row r="39" spans="1:15" ht="24.75" customHeight="1">
      <c r="A39" s="71">
        <v>32</v>
      </c>
      <c r="B39" s="72" t="s">
        <v>80</v>
      </c>
      <c r="C39" s="85">
        <v>1299.2</v>
      </c>
      <c r="D39" s="26">
        <v>1310.4</v>
      </c>
      <c r="E39" s="26">
        <v>1223.3</v>
      </c>
      <c r="F39" s="17">
        <f t="shared" si="0"/>
        <v>93.3531746031746</v>
      </c>
      <c r="G39" s="26">
        <v>1308.8</v>
      </c>
      <c r="H39" s="26">
        <v>666.4</v>
      </c>
      <c r="I39" s="69">
        <f t="shared" si="1"/>
        <v>50.91687041564792</v>
      </c>
      <c r="J39" s="28">
        <f t="shared" si="6"/>
        <v>2619.2</v>
      </c>
      <c r="K39" s="28">
        <f t="shared" si="6"/>
        <v>1889.6999999999998</v>
      </c>
      <c r="L39" s="17">
        <f t="shared" si="2"/>
        <v>72.14798411728772</v>
      </c>
      <c r="M39" s="28">
        <f t="shared" si="4"/>
        <v>729.5</v>
      </c>
      <c r="N39" s="45">
        <f t="shared" si="5"/>
        <v>2028.6999999999998</v>
      </c>
      <c r="O39" s="30"/>
    </row>
    <row r="40" spans="1:15" ht="24.75" customHeight="1">
      <c r="A40" s="71">
        <v>33</v>
      </c>
      <c r="B40" s="77" t="s">
        <v>60</v>
      </c>
      <c r="C40" s="85">
        <v>1284.3</v>
      </c>
      <c r="D40" s="26">
        <v>680.4</v>
      </c>
      <c r="E40" s="26">
        <v>1284.3</v>
      </c>
      <c r="F40" s="17">
        <f>E40/D40*100</f>
        <v>188.75661375661377</v>
      </c>
      <c r="G40" s="26">
        <v>667.4</v>
      </c>
      <c r="H40" s="26">
        <v>0</v>
      </c>
      <c r="I40" s="69">
        <f t="shared" si="1"/>
        <v>0</v>
      </c>
      <c r="J40" s="28">
        <f t="shared" si="6"/>
        <v>1347.8</v>
      </c>
      <c r="K40" s="28">
        <f t="shared" si="6"/>
        <v>1284.3</v>
      </c>
      <c r="L40" s="17">
        <f t="shared" si="2"/>
        <v>95.28861848939012</v>
      </c>
      <c r="M40" s="28">
        <f t="shared" si="4"/>
        <v>63.5</v>
      </c>
      <c r="N40" s="45">
        <f t="shared" si="5"/>
        <v>1347.8</v>
      </c>
      <c r="O40" s="30"/>
    </row>
    <row r="41" spans="1:15" s="22" customFormat="1" ht="24.75" customHeight="1">
      <c r="A41" s="71">
        <v>34</v>
      </c>
      <c r="B41" s="51" t="s">
        <v>8</v>
      </c>
      <c r="C41" s="45">
        <f>SUM(C42:C42)</f>
        <v>13136</v>
      </c>
      <c r="D41" s="45">
        <f>SUM(D42:D42)</f>
        <v>13387.6</v>
      </c>
      <c r="E41" s="45">
        <f>SUM(E42:E42)</f>
        <v>13136</v>
      </c>
      <c r="F41" s="17">
        <f t="shared" si="0"/>
        <v>98.12064895873793</v>
      </c>
      <c r="G41" s="45">
        <f>SUM(G42:G42)</f>
        <v>14457.8</v>
      </c>
      <c r="H41" s="45">
        <f>SUM(H42:H42)</f>
        <v>0</v>
      </c>
      <c r="I41" s="17">
        <f t="shared" si="1"/>
        <v>0</v>
      </c>
      <c r="J41" s="45">
        <f>SUM(J42:J42)</f>
        <v>27845.4</v>
      </c>
      <c r="K41" s="45">
        <f>SUM(K42:K42)</f>
        <v>13136</v>
      </c>
      <c r="L41" s="17">
        <f t="shared" si="2"/>
        <v>47.17475776968548</v>
      </c>
      <c r="M41" s="45">
        <f>SUM(M42:M42)</f>
        <v>14709.400000000001</v>
      </c>
      <c r="N41" s="45">
        <f>SUM(N42:N42)</f>
        <v>27845.4</v>
      </c>
      <c r="O41" s="18"/>
    </row>
    <row r="42" spans="1:15" s="22" customFormat="1" ht="24.75" customHeight="1">
      <c r="A42" s="80"/>
      <c r="B42" s="81" t="s">
        <v>85</v>
      </c>
      <c r="C42" s="85">
        <v>13136</v>
      </c>
      <c r="D42" s="26">
        <v>13387.6</v>
      </c>
      <c r="E42" s="82">
        <v>13136</v>
      </c>
      <c r="F42" s="17">
        <f t="shared" si="0"/>
        <v>98.12064895873793</v>
      </c>
      <c r="G42" s="26">
        <v>14457.8</v>
      </c>
      <c r="H42" s="26">
        <v>0</v>
      </c>
      <c r="I42" s="17">
        <f t="shared" si="1"/>
        <v>0</v>
      </c>
      <c r="J42" s="28">
        <f>D42+G42</f>
        <v>27845.4</v>
      </c>
      <c r="K42" s="28">
        <f>E42+H42</f>
        <v>13136</v>
      </c>
      <c r="L42" s="17">
        <f t="shared" si="2"/>
        <v>47.17475776968548</v>
      </c>
      <c r="M42" s="28">
        <f t="shared" si="4"/>
        <v>14709.400000000001</v>
      </c>
      <c r="N42" s="45">
        <f t="shared" si="5"/>
        <v>27845.4</v>
      </c>
      <c r="O42" s="18"/>
    </row>
    <row r="43" spans="1:15" s="22" customFormat="1" ht="33" customHeight="1">
      <c r="A43" s="80"/>
      <c r="B43" s="43" t="s">
        <v>10</v>
      </c>
      <c r="C43" s="45">
        <f>C7+C41</f>
        <v>36558.00000000001</v>
      </c>
      <c r="D43" s="45">
        <f>D7+D41</f>
        <v>29011.399999999998</v>
      </c>
      <c r="E43" s="45">
        <f>E7+E41</f>
        <v>29850.9</v>
      </c>
      <c r="F43" s="17">
        <f t="shared" si="0"/>
        <v>102.89369006666347</v>
      </c>
      <c r="G43" s="45">
        <f>G7+G41</f>
        <v>30315.399999999998</v>
      </c>
      <c r="H43" s="45">
        <f>H7+H41</f>
        <v>4483.5</v>
      </c>
      <c r="I43" s="17">
        <f t="shared" si="1"/>
        <v>14.78951292082572</v>
      </c>
      <c r="J43" s="79">
        <f>J7+J41</f>
        <v>59326.8</v>
      </c>
      <c r="K43" s="79">
        <f>K7+K41</f>
        <v>34334.40000000001</v>
      </c>
      <c r="L43" s="17">
        <f>K43/J43*100</f>
        <v>57.87333886203201</v>
      </c>
      <c r="M43" s="45">
        <f>M7+M41</f>
        <v>24992.4</v>
      </c>
      <c r="N43" s="45">
        <f>N7+N41</f>
        <v>61550.4</v>
      </c>
      <c r="O43" s="18"/>
    </row>
    <row r="44" spans="3:14" ht="43.5" customHeight="1">
      <c r="C44" s="87"/>
      <c r="D44" s="60"/>
      <c r="E44" s="60"/>
      <c r="F44" s="53"/>
      <c r="G44" s="46"/>
      <c r="H44" s="46"/>
      <c r="I44" s="20"/>
      <c r="J44" s="52"/>
      <c r="K44" s="52"/>
      <c r="L44" s="20"/>
      <c r="M44" s="20"/>
      <c r="N44" s="46"/>
    </row>
    <row r="45" spans="7:14" ht="1.5" customHeight="1">
      <c r="G45" s="2"/>
      <c r="H45" s="2"/>
      <c r="I45" s="185"/>
      <c r="J45" s="2"/>
      <c r="K45" s="2"/>
      <c r="L45" s="185"/>
      <c r="M45" s="223" t="s">
        <v>139</v>
      </c>
      <c r="N45" s="224"/>
    </row>
    <row r="46" spans="2:14" ht="45.75" customHeight="1" hidden="1">
      <c r="B46" s="221" t="s">
        <v>53</v>
      </c>
      <c r="C46" s="221"/>
      <c r="D46" s="221"/>
      <c r="E46" s="221"/>
      <c r="F46" s="221"/>
      <c r="G46" s="60"/>
      <c r="H46" s="60"/>
      <c r="I46" s="61"/>
      <c r="J46" s="60"/>
      <c r="K46" s="60"/>
      <c r="L46" s="61"/>
      <c r="N46" s="62" t="s">
        <v>137</v>
      </c>
    </row>
    <row r="47" spans="1:13" ht="12.75" customHeight="1" hidden="1">
      <c r="A47" s="214"/>
      <c r="B47" s="214"/>
      <c r="C47" s="59"/>
      <c r="D47" s="59"/>
      <c r="E47" s="59"/>
      <c r="F47" s="59"/>
      <c r="H47" s="22"/>
      <c r="I47" s="22" t="s">
        <v>54</v>
      </c>
      <c r="J47" s="22"/>
      <c r="K47" s="22"/>
      <c r="M47" s="22"/>
    </row>
    <row r="48" spans="1:14" s="3" customFormat="1" ht="96.75" customHeight="1">
      <c r="A48" s="1"/>
      <c r="B48" s="213" t="s">
        <v>138</v>
      </c>
      <c r="C48" s="213"/>
      <c r="D48" s="213"/>
      <c r="E48" s="213"/>
      <c r="F48" s="213"/>
      <c r="G48" s="6"/>
      <c r="H48" s="6"/>
      <c r="I48" s="22"/>
      <c r="J48" s="6"/>
      <c r="K48" s="6"/>
      <c r="L48" s="22"/>
      <c r="M48" s="6"/>
      <c r="N48" s="6"/>
    </row>
    <row r="50" spans="3:14" ht="18.75">
      <c r="C50" s="88"/>
      <c r="D50" s="57"/>
      <c r="E50" s="57"/>
      <c r="F50" s="184"/>
      <c r="G50" s="57"/>
      <c r="H50" s="57"/>
      <c r="I50" s="184"/>
      <c r="J50" s="57"/>
      <c r="K50" s="57"/>
      <c r="L50" s="184"/>
      <c r="M50" s="57"/>
      <c r="N50" s="57"/>
    </row>
    <row r="51" spans="3:14" ht="18.75">
      <c r="C51" s="88"/>
      <c r="D51" s="57"/>
      <c r="E51" s="57"/>
      <c r="F51" s="184"/>
      <c r="G51" s="57"/>
      <c r="H51" s="57"/>
      <c r="I51" s="184"/>
      <c r="J51" s="57"/>
      <c r="K51" s="57"/>
      <c r="L51" s="184"/>
      <c r="M51" s="57"/>
      <c r="N51" s="57"/>
    </row>
    <row r="52" spans="3:14" ht="18.75">
      <c r="C52" s="88"/>
      <c r="D52" s="57"/>
      <c r="E52" s="57"/>
      <c r="F52" s="184"/>
      <c r="G52" s="57"/>
      <c r="H52" s="57"/>
      <c r="I52" s="184"/>
      <c r="J52" s="57"/>
      <c r="K52" s="57"/>
      <c r="L52" s="184"/>
      <c r="M52" s="57"/>
      <c r="N52" s="57"/>
    </row>
    <row r="53" spans="7:14" ht="18.75">
      <c r="G53" s="57"/>
      <c r="H53" s="57"/>
      <c r="I53" s="184"/>
      <c r="J53" s="57"/>
      <c r="K53" s="57"/>
      <c r="L53" s="184"/>
      <c r="M53" s="57"/>
      <c r="N53" s="57"/>
    </row>
    <row r="54" spans="3:14" ht="18.75">
      <c r="C54" s="88"/>
      <c r="D54" s="57"/>
      <c r="E54" s="57"/>
      <c r="F54" s="184"/>
      <c r="G54" s="57"/>
      <c r="H54" s="57"/>
      <c r="I54" s="184"/>
      <c r="J54" s="57"/>
      <c r="K54" s="57"/>
      <c r="L54" s="184"/>
      <c r="M54" s="57"/>
      <c r="N54" s="57"/>
    </row>
    <row r="55" spans="3:14" ht="18.75">
      <c r="C55" s="88"/>
      <c r="D55" s="57"/>
      <c r="E55" s="57"/>
      <c r="F55" s="184"/>
      <c r="G55" s="57"/>
      <c r="H55" s="57"/>
      <c r="I55" s="184"/>
      <c r="J55" s="57"/>
      <c r="K55" s="57"/>
      <c r="L55" s="184"/>
      <c r="M55" s="57"/>
      <c r="N55" s="57"/>
    </row>
    <row r="56" spans="3:14" ht="18.75">
      <c r="C56" s="88"/>
      <c r="D56" s="57"/>
      <c r="E56" s="57"/>
      <c r="F56" s="184"/>
      <c r="G56" s="57"/>
      <c r="H56" s="57"/>
      <c r="I56" s="184"/>
      <c r="J56" s="57"/>
      <c r="K56" s="57"/>
      <c r="L56" s="184"/>
      <c r="M56" s="57"/>
      <c r="N56" s="57"/>
    </row>
    <row r="57" spans="3:14" ht="18.75">
      <c r="C57" s="88"/>
      <c r="D57" s="57"/>
      <c r="E57" s="57"/>
      <c r="F57" s="184"/>
      <c r="G57" s="57"/>
      <c r="H57" s="57"/>
      <c r="I57" s="184"/>
      <c r="J57" s="57"/>
      <c r="K57" s="57"/>
      <c r="L57" s="184"/>
      <c r="M57" s="57"/>
      <c r="N57" s="57"/>
    </row>
    <row r="58" spans="3:14" ht="18.75">
      <c r="C58" s="88"/>
      <c r="D58" s="57"/>
      <c r="E58" s="57"/>
      <c r="F58" s="184"/>
      <c r="G58" s="57"/>
      <c r="H58" s="57"/>
      <c r="I58" s="184"/>
      <c r="J58" s="57"/>
      <c r="K58" s="57"/>
      <c r="L58" s="184"/>
      <c r="M58" s="57"/>
      <c r="N58" s="57"/>
    </row>
    <row r="59" spans="3:14" ht="18.75">
      <c r="C59" s="88"/>
      <c r="D59" s="57"/>
      <c r="E59" s="57"/>
      <c r="F59" s="184"/>
      <c r="G59" s="57"/>
      <c r="H59" s="57"/>
      <c r="I59" s="184"/>
      <c r="J59" s="57"/>
      <c r="K59" s="57"/>
      <c r="L59" s="184"/>
      <c r="M59" s="57"/>
      <c r="N59" s="57"/>
    </row>
    <row r="60" spans="3:14" ht="18.75">
      <c r="C60" s="88"/>
      <c r="D60" s="57"/>
      <c r="E60" s="57"/>
      <c r="F60" s="184"/>
      <c r="G60" s="57"/>
      <c r="H60" s="57"/>
      <c r="I60" s="184"/>
      <c r="J60" s="57"/>
      <c r="K60" s="57"/>
      <c r="L60" s="184"/>
      <c r="M60" s="57"/>
      <c r="N60" s="57"/>
    </row>
    <row r="61" spans="3:14" ht="18.75">
      <c r="C61" s="88"/>
      <c r="D61" s="57"/>
      <c r="E61" s="57"/>
      <c r="F61" s="184"/>
      <c r="G61" s="57"/>
      <c r="H61" s="57"/>
      <c r="I61" s="184"/>
      <c r="J61" s="57"/>
      <c r="K61" s="57"/>
      <c r="L61" s="184"/>
      <c r="M61" s="57"/>
      <c r="N61" s="57"/>
    </row>
    <row r="62" spans="3:14" ht="18.75">
      <c r="C62" s="88"/>
      <c r="D62" s="57"/>
      <c r="E62" s="57"/>
      <c r="F62" s="184"/>
      <c r="G62" s="57"/>
      <c r="H62" s="57"/>
      <c r="I62" s="184"/>
      <c r="J62" s="57"/>
      <c r="K62" s="57"/>
      <c r="L62" s="184"/>
      <c r="M62" s="57"/>
      <c r="N62" s="57"/>
    </row>
    <row r="63" spans="3:14" ht="18.75">
      <c r="C63" s="88"/>
      <c r="D63" s="57"/>
      <c r="E63" s="57"/>
      <c r="F63" s="184"/>
      <c r="G63" s="57"/>
      <c r="H63" s="57"/>
      <c r="I63" s="184"/>
      <c r="J63" s="57"/>
      <c r="K63" s="57"/>
      <c r="L63" s="184"/>
      <c r="M63" s="57"/>
      <c r="N63" s="57"/>
    </row>
    <row r="64" spans="3:14" ht="18.75">
      <c r="C64" s="88"/>
      <c r="D64" s="57"/>
      <c r="E64" s="57"/>
      <c r="F64" s="184"/>
      <c r="G64" s="57"/>
      <c r="H64" s="57"/>
      <c r="I64" s="184"/>
      <c r="J64" s="57"/>
      <c r="K64" s="57"/>
      <c r="L64" s="184"/>
      <c r="M64" s="57"/>
      <c r="N64" s="57"/>
    </row>
    <row r="65" spans="3:14" ht="18.75">
      <c r="C65" s="88"/>
      <c r="D65" s="57"/>
      <c r="E65" s="57"/>
      <c r="F65" s="184"/>
      <c r="G65" s="57"/>
      <c r="H65" s="57"/>
      <c r="I65" s="184"/>
      <c r="J65" s="57"/>
      <c r="K65" s="57"/>
      <c r="L65" s="184"/>
      <c r="M65" s="57"/>
      <c r="N65" s="57"/>
    </row>
    <row r="66" spans="3:14" ht="18.75">
      <c r="C66" s="88"/>
      <c r="D66" s="57"/>
      <c r="E66" s="57"/>
      <c r="F66" s="184"/>
      <c r="G66" s="57"/>
      <c r="H66" s="57"/>
      <c r="I66" s="184"/>
      <c r="J66" s="57"/>
      <c r="K66" s="57"/>
      <c r="L66" s="184"/>
      <c r="M66" s="57"/>
      <c r="N66" s="57"/>
    </row>
    <row r="67" spans="3:14" ht="18.75">
      <c r="C67" s="88"/>
      <c r="D67" s="57"/>
      <c r="E67" s="57"/>
      <c r="F67" s="184"/>
      <c r="G67" s="57"/>
      <c r="H67" s="57"/>
      <c r="I67" s="184"/>
      <c r="J67" s="57"/>
      <c r="K67" s="57"/>
      <c r="L67" s="184"/>
      <c r="M67" s="57"/>
      <c r="N67" s="57"/>
    </row>
    <row r="68" spans="3:14" ht="18.75">
      <c r="C68" s="88"/>
      <c r="D68" s="57"/>
      <c r="E68" s="57"/>
      <c r="F68" s="184"/>
      <c r="G68" s="57"/>
      <c r="H68" s="57"/>
      <c r="I68" s="184"/>
      <c r="J68" s="57"/>
      <c r="K68" s="57"/>
      <c r="L68" s="184"/>
      <c r="M68" s="57"/>
      <c r="N68" s="57"/>
    </row>
    <row r="69" spans="3:14" ht="18.75">
      <c r="C69" s="88"/>
      <c r="D69" s="57"/>
      <c r="E69" s="57"/>
      <c r="F69" s="184"/>
      <c r="G69" s="57"/>
      <c r="H69" s="57"/>
      <c r="I69" s="184"/>
      <c r="J69" s="57"/>
      <c r="K69" s="57"/>
      <c r="L69" s="184"/>
      <c r="M69" s="57"/>
      <c r="N69" s="57"/>
    </row>
    <row r="70" spans="3:14" ht="18.75">
      <c r="C70" s="88"/>
      <c r="D70" s="57"/>
      <c r="E70" s="57"/>
      <c r="F70" s="184"/>
      <c r="G70" s="57"/>
      <c r="H70" s="57"/>
      <c r="I70" s="184"/>
      <c r="J70" s="57"/>
      <c r="K70" s="57"/>
      <c r="L70" s="184"/>
      <c r="M70" s="57"/>
      <c r="N70" s="57"/>
    </row>
    <row r="71" spans="3:14" ht="18.75">
      <c r="C71" s="88"/>
      <c r="D71" s="57"/>
      <c r="E71" s="57"/>
      <c r="F71" s="184"/>
      <c r="G71" s="57"/>
      <c r="H71" s="57"/>
      <c r="I71" s="184"/>
      <c r="J71" s="57"/>
      <c r="K71" s="57"/>
      <c r="L71" s="184"/>
      <c r="M71" s="57"/>
      <c r="N71" s="57"/>
    </row>
    <row r="72" spans="3:14" ht="18.75">
      <c r="C72" s="88"/>
      <c r="D72" s="57"/>
      <c r="E72" s="57"/>
      <c r="F72" s="184"/>
      <c r="G72" s="57"/>
      <c r="H72" s="57"/>
      <c r="I72" s="184"/>
      <c r="J72" s="57"/>
      <c r="K72" s="57"/>
      <c r="L72" s="184"/>
      <c r="M72" s="57"/>
      <c r="N72" s="57"/>
    </row>
    <row r="73" spans="3:14" ht="18.75">
      <c r="C73" s="88"/>
      <c r="D73" s="57"/>
      <c r="E73" s="57"/>
      <c r="F73" s="184"/>
      <c r="G73" s="57"/>
      <c r="H73" s="57"/>
      <c r="I73" s="184"/>
      <c r="J73" s="57"/>
      <c r="K73" s="57"/>
      <c r="L73" s="184"/>
      <c r="M73" s="57"/>
      <c r="N73" s="57"/>
    </row>
    <row r="74" spans="3:14" ht="18.75">
      <c r="C74" s="88"/>
      <c r="D74" s="57"/>
      <c r="E74" s="57"/>
      <c r="F74" s="184"/>
      <c r="G74" s="57"/>
      <c r="H74" s="57"/>
      <c r="I74" s="184"/>
      <c r="J74" s="57"/>
      <c r="K74" s="57"/>
      <c r="L74" s="184"/>
      <c r="M74" s="57"/>
      <c r="N74" s="57"/>
    </row>
    <row r="75" spans="3:14" ht="18.75">
      <c r="C75" s="88"/>
      <c r="D75" s="57"/>
      <c r="E75" s="57"/>
      <c r="F75" s="184"/>
      <c r="G75" s="57"/>
      <c r="H75" s="57"/>
      <c r="I75" s="184"/>
      <c r="J75" s="57"/>
      <c r="K75" s="57"/>
      <c r="L75" s="184"/>
      <c r="M75" s="57"/>
      <c r="N75" s="57"/>
    </row>
    <row r="76" spans="3:14" ht="18.75">
      <c r="C76" s="88"/>
      <c r="D76" s="57"/>
      <c r="E76" s="57"/>
      <c r="F76" s="184"/>
      <c r="G76" s="57"/>
      <c r="H76" s="57"/>
      <c r="I76" s="184"/>
      <c r="J76" s="57"/>
      <c r="K76" s="57"/>
      <c r="L76" s="184"/>
      <c r="M76" s="57"/>
      <c r="N76" s="57"/>
    </row>
    <row r="77" spans="3:14" ht="18.75">
      <c r="C77" s="88"/>
      <c r="D77" s="57"/>
      <c r="E77" s="57"/>
      <c r="F77" s="184"/>
      <c r="G77" s="57"/>
      <c r="H77" s="57"/>
      <c r="I77" s="184"/>
      <c r="J77" s="57"/>
      <c r="K77" s="57"/>
      <c r="L77" s="184"/>
      <c r="M77" s="57"/>
      <c r="N77" s="57"/>
    </row>
    <row r="78" spans="3:14" ht="18.75">
      <c r="C78" s="88"/>
      <c r="D78" s="57"/>
      <c r="E78" s="57"/>
      <c r="F78" s="184"/>
      <c r="G78" s="57"/>
      <c r="H78" s="57"/>
      <c r="I78" s="184"/>
      <c r="J78" s="57"/>
      <c r="K78" s="57"/>
      <c r="L78" s="184"/>
      <c r="M78" s="57"/>
      <c r="N78" s="57"/>
    </row>
    <row r="79" spans="3:14" ht="18.75">
      <c r="C79" s="88"/>
      <c r="D79" s="57"/>
      <c r="E79" s="57"/>
      <c r="F79" s="184"/>
      <c r="G79" s="57"/>
      <c r="H79" s="57"/>
      <c r="I79" s="184"/>
      <c r="J79" s="57"/>
      <c r="K79" s="57"/>
      <c r="L79" s="184"/>
      <c r="M79" s="57"/>
      <c r="N79" s="57"/>
    </row>
    <row r="80" spans="3:14" ht="18.75">
      <c r="C80" s="88"/>
      <c r="D80" s="57"/>
      <c r="E80" s="57"/>
      <c r="F80" s="184"/>
      <c r="G80" s="57"/>
      <c r="H80" s="57"/>
      <c r="I80" s="184"/>
      <c r="J80" s="57"/>
      <c r="K80" s="57"/>
      <c r="L80" s="184"/>
      <c r="M80" s="57"/>
      <c r="N80" s="57"/>
    </row>
    <row r="81" spans="3:14" ht="18.75">
      <c r="C81" s="88"/>
      <c r="D81" s="57"/>
      <c r="E81" s="57"/>
      <c r="F81" s="184"/>
      <c r="G81" s="57"/>
      <c r="H81" s="57"/>
      <c r="I81" s="184"/>
      <c r="J81" s="57"/>
      <c r="K81" s="57"/>
      <c r="L81" s="184"/>
      <c r="M81" s="57"/>
      <c r="N81" s="57"/>
    </row>
    <row r="82" spans="3:14" ht="18.75">
      <c r="C82" s="88"/>
      <c r="D82" s="57"/>
      <c r="E82" s="57"/>
      <c r="F82" s="184"/>
      <c r="G82" s="57"/>
      <c r="H82" s="57"/>
      <c r="I82" s="184"/>
      <c r="J82" s="57"/>
      <c r="K82" s="57"/>
      <c r="L82" s="184"/>
      <c r="M82" s="57"/>
      <c r="N82" s="57"/>
    </row>
    <row r="83" spans="3:14" ht="18.75">
      <c r="C83" s="88"/>
      <c r="D83" s="57"/>
      <c r="E83" s="57"/>
      <c r="F83" s="184"/>
      <c r="G83" s="57"/>
      <c r="H83" s="57"/>
      <c r="I83" s="184"/>
      <c r="J83" s="57"/>
      <c r="K83" s="57"/>
      <c r="L83" s="184"/>
      <c r="M83" s="57"/>
      <c r="N83" s="57"/>
    </row>
    <row r="84" spans="3:14" ht="18.75">
      <c r="C84" s="88"/>
      <c r="D84" s="57"/>
      <c r="E84" s="57"/>
      <c r="F84" s="184"/>
      <c r="G84" s="57"/>
      <c r="H84" s="57"/>
      <c r="I84" s="184"/>
      <c r="J84" s="57"/>
      <c r="K84" s="57"/>
      <c r="L84" s="184"/>
      <c r="M84" s="57"/>
      <c r="N84" s="57"/>
    </row>
    <row r="85" spans="3:14" ht="18.75">
      <c r="C85" s="88"/>
      <c r="D85" s="57"/>
      <c r="E85" s="57"/>
      <c r="F85" s="184"/>
      <c r="G85" s="57"/>
      <c r="H85" s="57"/>
      <c r="I85" s="184"/>
      <c r="J85" s="57"/>
      <c r="K85" s="57"/>
      <c r="L85" s="184"/>
      <c r="M85" s="57"/>
      <c r="N85" s="57"/>
    </row>
    <row r="86" spans="3:14" ht="18.75">
      <c r="C86" s="88"/>
      <c r="D86" s="57"/>
      <c r="E86" s="57"/>
      <c r="F86" s="184"/>
      <c r="G86" s="57"/>
      <c r="H86" s="57"/>
      <c r="I86" s="184"/>
      <c r="J86" s="57"/>
      <c r="K86" s="57"/>
      <c r="L86" s="184"/>
      <c r="M86" s="57"/>
      <c r="N86" s="57"/>
    </row>
    <row r="87" spans="3:14" ht="18.75">
      <c r="C87" s="88"/>
      <c r="D87" s="57"/>
      <c r="E87" s="57"/>
      <c r="F87" s="184"/>
      <c r="G87" s="57"/>
      <c r="H87" s="57"/>
      <c r="I87" s="184"/>
      <c r="J87" s="57"/>
      <c r="K87" s="57"/>
      <c r="L87" s="184"/>
      <c r="M87" s="57"/>
      <c r="N87" s="57"/>
    </row>
    <row r="88" spans="3:14" ht="18.75">
      <c r="C88" s="88"/>
      <c r="D88" s="57"/>
      <c r="E88" s="57"/>
      <c r="F88" s="184"/>
      <c r="G88" s="57"/>
      <c r="H88" s="57"/>
      <c r="I88" s="184"/>
      <c r="J88" s="57"/>
      <c r="K88" s="57"/>
      <c r="L88" s="184"/>
      <c r="M88" s="57"/>
      <c r="N88" s="57"/>
    </row>
    <row r="89" spans="3:14" ht="18.75">
      <c r="C89" s="88"/>
      <c r="D89" s="57"/>
      <c r="E89" s="57"/>
      <c r="F89" s="184"/>
      <c r="G89" s="57"/>
      <c r="H89" s="57"/>
      <c r="I89" s="184"/>
      <c r="J89" s="57"/>
      <c r="K89" s="57"/>
      <c r="L89" s="184"/>
      <c r="M89" s="57"/>
      <c r="N89" s="57"/>
    </row>
    <row r="90" spans="3:14" ht="18.75">
      <c r="C90" s="88"/>
      <c r="D90" s="57"/>
      <c r="E90" s="57"/>
      <c r="F90" s="184"/>
      <c r="G90" s="57"/>
      <c r="H90" s="57"/>
      <c r="I90" s="184"/>
      <c r="J90" s="57"/>
      <c r="K90" s="57"/>
      <c r="L90" s="184"/>
      <c r="M90" s="57"/>
      <c r="N90" s="57"/>
    </row>
    <row r="91" spans="3:14" ht="18.75">
      <c r="C91" s="88"/>
      <c r="D91" s="57"/>
      <c r="E91" s="57"/>
      <c r="F91" s="184"/>
      <c r="G91" s="57"/>
      <c r="H91" s="57"/>
      <c r="I91" s="184"/>
      <c r="J91" s="57"/>
      <c r="K91" s="57"/>
      <c r="L91" s="184"/>
      <c r="M91" s="57"/>
      <c r="N91" s="57"/>
    </row>
    <row r="92" spans="3:14" ht="18.75">
      <c r="C92" s="88"/>
      <c r="D92" s="57"/>
      <c r="E92" s="57"/>
      <c r="F92" s="184"/>
      <c r="G92" s="57"/>
      <c r="H92" s="57"/>
      <c r="I92" s="184"/>
      <c r="J92" s="57"/>
      <c r="K92" s="57"/>
      <c r="L92" s="184"/>
      <c r="M92" s="57"/>
      <c r="N92" s="57"/>
    </row>
    <row r="93" spans="3:14" ht="18.75">
      <c r="C93" s="88"/>
      <c r="D93" s="57"/>
      <c r="E93" s="57"/>
      <c r="F93" s="184"/>
      <c r="G93" s="57"/>
      <c r="H93" s="57"/>
      <c r="I93" s="184"/>
      <c r="J93" s="57"/>
      <c r="K93" s="57"/>
      <c r="L93" s="184"/>
      <c r="M93" s="57"/>
      <c r="N93" s="57"/>
    </row>
    <row r="94" spans="3:14" ht="18.75">
      <c r="C94" s="88"/>
      <c r="D94" s="57"/>
      <c r="E94" s="57"/>
      <c r="F94" s="184"/>
      <c r="G94" s="57"/>
      <c r="H94" s="57"/>
      <c r="I94" s="184"/>
      <c r="J94" s="57"/>
      <c r="K94" s="57"/>
      <c r="L94" s="184"/>
      <c r="M94" s="57"/>
      <c r="N94" s="57"/>
    </row>
    <row r="95" spans="3:14" ht="18.75">
      <c r="C95" s="88"/>
      <c r="D95" s="57"/>
      <c r="E95" s="57"/>
      <c r="F95" s="184"/>
      <c r="G95" s="57"/>
      <c r="H95" s="57"/>
      <c r="I95" s="184"/>
      <c r="J95" s="57"/>
      <c r="K95" s="57"/>
      <c r="L95" s="184"/>
      <c r="M95" s="57"/>
      <c r="N95" s="57"/>
    </row>
    <row r="96" spans="3:6" ht="18.75">
      <c r="C96" s="88"/>
      <c r="D96" s="57"/>
      <c r="E96" s="57"/>
      <c r="F96" s="184"/>
    </row>
  </sheetData>
  <sheetProtection/>
  <mergeCells count="14">
    <mergeCell ref="I1:N1"/>
    <mergeCell ref="B2:N2"/>
    <mergeCell ref="B3:N3"/>
    <mergeCell ref="B4:F4"/>
    <mergeCell ref="D5:F5"/>
    <mergeCell ref="G5:I5"/>
    <mergeCell ref="J5:L5"/>
    <mergeCell ref="B48:F48"/>
    <mergeCell ref="B46:F46"/>
    <mergeCell ref="C29:N29"/>
    <mergeCell ref="M5:M6"/>
    <mergeCell ref="N5:N6"/>
    <mergeCell ref="M45:N45"/>
    <mergeCell ref="A47:B47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95"/>
  <sheetViews>
    <sheetView view="pageBreakPreview" zoomScale="75" zoomScaleNormal="50" zoomScaleSheetLayoutView="75" zoomScalePageLayoutView="0" workbookViewId="0" topLeftCell="A1">
      <pane xSplit="6" ySplit="8" topLeftCell="K3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22" sqref="S22"/>
    </sheetView>
  </sheetViews>
  <sheetFormatPr defaultColWidth="6.75390625" defaultRowHeight="12.75"/>
  <cols>
    <col min="1" max="1" width="4.25390625" style="5" customWidth="1"/>
    <col min="2" max="2" width="54.125" style="6" customWidth="1"/>
    <col min="3" max="3" width="16.25390625" style="63" customWidth="1"/>
    <col min="4" max="4" width="21.00390625" style="6" customWidth="1"/>
    <col min="5" max="5" width="21.125" style="6" customWidth="1"/>
    <col min="6" max="6" width="13.75390625" style="22" customWidth="1"/>
    <col min="7" max="7" width="14.75390625" style="6" customWidth="1"/>
    <col min="8" max="8" width="16.00390625" style="6" customWidth="1"/>
    <col min="9" max="9" width="11.125" style="22" customWidth="1"/>
    <col min="10" max="11" width="14.75390625" style="6" customWidth="1"/>
    <col min="12" max="12" width="11.125" style="22" customWidth="1"/>
    <col min="13" max="13" width="16.75390625" style="6" customWidth="1"/>
    <col min="14" max="14" width="18.25390625" style="6" customWidth="1"/>
    <col min="15" max="15" width="12.25390625" style="6" customWidth="1"/>
    <col min="16" max="16" width="10.125" style="6" customWidth="1"/>
    <col min="17" max="16384" width="6.75390625" style="6" customWidth="1"/>
  </cols>
  <sheetData>
    <row r="1" spans="9:14" ht="21" customHeight="1">
      <c r="I1" s="216" t="s">
        <v>51</v>
      </c>
      <c r="J1" s="216"/>
      <c r="K1" s="216"/>
      <c r="L1" s="216"/>
      <c r="M1" s="216"/>
      <c r="N1" s="216"/>
    </row>
    <row r="2" spans="2:14" ht="18.75">
      <c r="B2" s="218" t="s">
        <v>131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ht="33.75" customHeight="1">
      <c r="B3" s="197" t="s">
        <v>144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4" ht="18.75">
      <c r="B4" s="217"/>
      <c r="C4" s="217"/>
      <c r="D4" s="217"/>
      <c r="E4" s="217"/>
      <c r="F4" s="217"/>
      <c r="N4" s="151" t="s">
        <v>7</v>
      </c>
    </row>
    <row r="5" spans="1:14" ht="58.5" customHeight="1">
      <c r="A5" s="64" t="s">
        <v>56</v>
      </c>
      <c r="B5" s="10"/>
      <c r="C5" s="159" t="s">
        <v>1</v>
      </c>
      <c r="D5" s="190" t="s">
        <v>146</v>
      </c>
      <c r="E5" s="191"/>
      <c r="F5" s="192"/>
      <c r="G5" s="210" t="s">
        <v>147</v>
      </c>
      <c r="H5" s="211"/>
      <c r="I5" s="212"/>
      <c r="J5" s="190" t="s">
        <v>148</v>
      </c>
      <c r="K5" s="191"/>
      <c r="L5" s="192"/>
      <c r="M5" s="193" t="s">
        <v>149</v>
      </c>
      <c r="N5" s="193" t="s">
        <v>145</v>
      </c>
    </row>
    <row r="6" spans="1:14" ht="30" customHeight="1">
      <c r="A6" s="65" t="s">
        <v>57</v>
      </c>
      <c r="B6" s="12" t="s">
        <v>89</v>
      </c>
      <c r="C6" s="160" t="s">
        <v>143</v>
      </c>
      <c r="D6" s="11" t="s">
        <v>150</v>
      </c>
      <c r="E6" s="11" t="s">
        <v>91</v>
      </c>
      <c r="F6" s="66" t="s">
        <v>0</v>
      </c>
      <c r="G6" s="11" t="s">
        <v>150</v>
      </c>
      <c r="H6" s="11" t="s">
        <v>91</v>
      </c>
      <c r="I6" s="66" t="s">
        <v>0</v>
      </c>
      <c r="J6" s="11" t="s">
        <v>150</v>
      </c>
      <c r="K6" s="11" t="s">
        <v>91</v>
      </c>
      <c r="L6" s="66" t="s">
        <v>0</v>
      </c>
      <c r="M6" s="194"/>
      <c r="N6" s="194"/>
    </row>
    <row r="7" spans="1:16" s="22" customFormat="1" ht="36" customHeight="1">
      <c r="A7" s="14"/>
      <c r="B7" s="15" t="s">
        <v>90</v>
      </c>
      <c r="C7" s="68">
        <f>SUM(C8:C40)</f>
        <v>-59.400000000000006</v>
      </c>
      <c r="D7" s="17">
        <f>SUM(D8:D40)</f>
        <v>412.6999999999999</v>
      </c>
      <c r="E7" s="17">
        <f>SUM(E8:E40)</f>
        <v>102.2</v>
      </c>
      <c r="F7" s="17">
        <f>E7/D7*100</f>
        <v>24.76375090865036</v>
      </c>
      <c r="G7" s="17">
        <f>SUM(G8:G40)</f>
        <v>486.69999999999993</v>
      </c>
      <c r="H7" s="17">
        <f>SUM(H8:H40)</f>
        <v>183.1</v>
      </c>
      <c r="I7" s="17">
        <f aca="true" t="shared" si="0" ref="I7:I43">H7/G7*100</f>
        <v>37.620710910211635</v>
      </c>
      <c r="J7" s="68">
        <f>SUM(J8:J40)</f>
        <v>899.3999999999999</v>
      </c>
      <c r="K7" s="68">
        <f>SUM(K8:K40)</f>
        <v>285.3</v>
      </c>
      <c r="L7" s="17">
        <f aca="true" t="shared" si="1" ref="L7:L42">K7/J7*100</f>
        <v>31.721147431621088</v>
      </c>
      <c r="M7" s="68">
        <f>SUM(M8:M40)</f>
        <v>614.0999999999999</v>
      </c>
      <c r="N7" s="68">
        <f>SUM(N8:N40)</f>
        <v>554.6999999999999</v>
      </c>
      <c r="O7" s="19">
        <f>SUM(M8:M40)</f>
        <v>614.0999999999999</v>
      </c>
      <c r="P7" s="19">
        <f>SUM(N8:N40)</f>
        <v>554.6999999999999</v>
      </c>
    </row>
    <row r="8" spans="1:14" ht="24.75" customHeight="1">
      <c r="A8" s="23" t="s">
        <v>14</v>
      </c>
      <c r="B8" s="24" t="s">
        <v>92</v>
      </c>
      <c r="C8" s="73">
        <v>3.2</v>
      </c>
      <c r="D8" s="26">
        <v>20.7</v>
      </c>
      <c r="E8" s="26">
        <v>19.1</v>
      </c>
      <c r="F8" s="17">
        <f>E8/D8*100</f>
        <v>92.27053140096619</v>
      </c>
      <c r="G8" s="26">
        <v>22.9</v>
      </c>
      <c r="H8" s="26">
        <v>19.2</v>
      </c>
      <c r="I8" s="17">
        <f t="shared" si="0"/>
        <v>83.84279475982534</v>
      </c>
      <c r="J8" s="28">
        <f>D8+G8</f>
        <v>43.599999999999994</v>
      </c>
      <c r="K8" s="28">
        <f>E8+H8</f>
        <v>38.3</v>
      </c>
      <c r="L8" s="17">
        <f t="shared" si="1"/>
        <v>87.8440366972477</v>
      </c>
      <c r="M8" s="28">
        <f>J8-K8</f>
        <v>5.299999999999997</v>
      </c>
      <c r="N8" s="45">
        <f>C8+J8-K8</f>
        <v>8.5</v>
      </c>
    </row>
    <row r="9" spans="1:14" ht="24.75" customHeight="1">
      <c r="A9" s="23" t="s">
        <v>15</v>
      </c>
      <c r="B9" s="24" t="s">
        <v>93</v>
      </c>
      <c r="C9" s="73">
        <v>-12.4</v>
      </c>
      <c r="D9" s="26">
        <v>1.4</v>
      </c>
      <c r="E9" s="26">
        <v>0.6</v>
      </c>
      <c r="F9" s="17">
        <f>E9/D9*100</f>
        <v>42.85714285714286</v>
      </c>
      <c r="G9" s="26">
        <v>1.6</v>
      </c>
      <c r="H9" s="26">
        <v>0.9</v>
      </c>
      <c r="I9" s="17">
        <f t="shared" si="0"/>
        <v>56.25</v>
      </c>
      <c r="J9" s="28">
        <f aca="true" t="shared" si="2" ref="J9:K28">D9+G9</f>
        <v>3</v>
      </c>
      <c r="K9" s="28">
        <f t="shared" si="2"/>
        <v>1.5</v>
      </c>
      <c r="L9" s="17">
        <f t="shared" si="1"/>
        <v>50</v>
      </c>
      <c r="M9" s="28">
        <f aca="true" t="shared" si="3" ref="M9:M42">J9-K9</f>
        <v>1.5</v>
      </c>
      <c r="N9" s="45">
        <f aca="true" t="shared" si="4" ref="N9:N42">C9+J9-K9</f>
        <v>-10.9</v>
      </c>
    </row>
    <row r="10" spans="1:14" ht="24.75" customHeight="1">
      <c r="A10" s="23" t="s">
        <v>16</v>
      </c>
      <c r="B10" s="32" t="s">
        <v>135</v>
      </c>
      <c r="C10" s="73"/>
      <c r="D10" s="26"/>
      <c r="E10" s="26"/>
      <c r="F10" s="17"/>
      <c r="G10" s="26"/>
      <c r="H10" s="26"/>
      <c r="I10" s="186"/>
      <c r="J10" s="28"/>
      <c r="K10" s="28"/>
      <c r="L10" s="186"/>
      <c r="M10" s="28"/>
      <c r="N10" s="45"/>
    </row>
    <row r="11" spans="1:14" ht="24.75" customHeight="1">
      <c r="A11" s="23" t="s">
        <v>17</v>
      </c>
      <c r="B11" s="24" t="s">
        <v>94</v>
      </c>
      <c r="C11" s="73">
        <v>-8.8</v>
      </c>
      <c r="D11" s="26">
        <v>2.2</v>
      </c>
      <c r="E11" s="26">
        <v>0.6</v>
      </c>
      <c r="F11" s="17">
        <f>E11/D11*100</f>
        <v>27.27272727272727</v>
      </c>
      <c r="G11" s="26">
        <v>6.1</v>
      </c>
      <c r="H11" s="26">
        <v>4.6</v>
      </c>
      <c r="I11" s="17">
        <f t="shared" si="0"/>
        <v>75.40983606557377</v>
      </c>
      <c r="J11" s="28">
        <f t="shared" si="2"/>
        <v>8.3</v>
      </c>
      <c r="K11" s="28">
        <f t="shared" si="2"/>
        <v>5.199999999999999</v>
      </c>
      <c r="L11" s="17">
        <f t="shared" si="1"/>
        <v>62.650602409638545</v>
      </c>
      <c r="M11" s="28">
        <f t="shared" si="3"/>
        <v>3.1000000000000014</v>
      </c>
      <c r="N11" s="45">
        <f t="shared" si="4"/>
        <v>-5.699999999999999</v>
      </c>
    </row>
    <row r="12" spans="1:14" ht="24.75" customHeight="1">
      <c r="A12" s="23" t="s">
        <v>18</v>
      </c>
      <c r="B12" s="24" t="s">
        <v>95</v>
      </c>
      <c r="C12" s="73">
        <v>-0.9</v>
      </c>
      <c r="D12" s="26">
        <v>8.7</v>
      </c>
      <c r="E12" s="26">
        <v>1.4</v>
      </c>
      <c r="F12" s="68">
        <f>E12/D12*100</f>
        <v>16.091954022988507</v>
      </c>
      <c r="G12" s="26">
        <v>8.9</v>
      </c>
      <c r="H12" s="26">
        <v>8.9</v>
      </c>
      <c r="I12" s="17">
        <f t="shared" si="0"/>
        <v>100</v>
      </c>
      <c r="J12" s="28">
        <f t="shared" si="2"/>
        <v>17.6</v>
      </c>
      <c r="K12" s="28">
        <f t="shared" si="2"/>
        <v>10.3</v>
      </c>
      <c r="L12" s="17">
        <f t="shared" si="1"/>
        <v>58.52272727272727</v>
      </c>
      <c r="M12" s="28">
        <f t="shared" si="3"/>
        <v>7.300000000000001</v>
      </c>
      <c r="N12" s="45">
        <f t="shared" si="4"/>
        <v>6.400000000000002</v>
      </c>
    </row>
    <row r="13" spans="1:14" ht="24.75" customHeight="1">
      <c r="A13" s="23" t="s">
        <v>19</v>
      </c>
      <c r="B13" s="24" t="s">
        <v>96</v>
      </c>
      <c r="C13" s="73">
        <v>7.9</v>
      </c>
      <c r="D13" s="26">
        <v>6.4</v>
      </c>
      <c r="E13" s="26">
        <v>4</v>
      </c>
      <c r="F13" s="17">
        <f aca="true" t="shared" si="5" ref="F13:F18">E13/D13*100</f>
        <v>62.5</v>
      </c>
      <c r="G13" s="26">
        <v>6.5</v>
      </c>
      <c r="H13" s="26">
        <v>6.3</v>
      </c>
      <c r="I13" s="17">
        <f t="shared" si="0"/>
        <v>96.92307692307692</v>
      </c>
      <c r="J13" s="28">
        <f t="shared" si="2"/>
        <v>12.9</v>
      </c>
      <c r="K13" s="28">
        <f t="shared" si="2"/>
        <v>10.3</v>
      </c>
      <c r="L13" s="17">
        <f t="shared" si="1"/>
        <v>79.84496124031008</v>
      </c>
      <c r="M13" s="28">
        <f t="shared" si="3"/>
        <v>2.5999999999999996</v>
      </c>
      <c r="N13" s="45">
        <f t="shared" si="4"/>
        <v>10.5</v>
      </c>
    </row>
    <row r="14" spans="1:14" ht="24.75" customHeight="1">
      <c r="A14" s="23" t="s">
        <v>20</v>
      </c>
      <c r="B14" s="24" t="s">
        <v>97</v>
      </c>
      <c r="C14" s="73">
        <v>-3.7</v>
      </c>
      <c r="D14" s="26">
        <v>0.4</v>
      </c>
      <c r="E14" s="26">
        <v>0</v>
      </c>
      <c r="F14" s="17">
        <f t="shared" si="5"/>
        <v>0</v>
      </c>
      <c r="G14" s="26">
        <v>3.2</v>
      </c>
      <c r="H14" s="26">
        <v>3.3</v>
      </c>
      <c r="I14" s="17">
        <f t="shared" si="0"/>
        <v>103.12499999999997</v>
      </c>
      <c r="J14" s="28">
        <f t="shared" si="2"/>
        <v>3.6</v>
      </c>
      <c r="K14" s="28">
        <f t="shared" si="2"/>
        <v>3.3</v>
      </c>
      <c r="L14" s="17">
        <f t="shared" si="1"/>
        <v>91.66666666666666</v>
      </c>
      <c r="M14" s="28">
        <f t="shared" si="3"/>
        <v>0.30000000000000027</v>
      </c>
      <c r="N14" s="45">
        <f t="shared" si="4"/>
        <v>-3.4</v>
      </c>
    </row>
    <row r="15" spans="1:14" ht="24.75" customHeight="1">
      <c r="A15" s="23" t="s">
        <v>21</v>
      </c>
      <c r="B15" s="24" t="s">
        <v>98</v>
      </c>
      <c r="C15" s="73">
        <v>4.5</v>
      </c>
      <c r="D15" s="26">
        <v>4.5</v>
      </c>
      <c r="E15" s="26">
        <v>4.9</v>
      </c>
      <c r="F15" s="17">
        <f t="shared" si="5"/>
        <v>108.8888888888889</v>
      </c>
      <c r="G15" s="26">
        <v>8.2</v>
      </c>
      <c r="H15" s="26">
        <v>11.5</v>
      </c>
      <c r="I15" s="17">
        <f t="shared" si="0"/>
        <v>140.2439024390244</v>
      </c>
      <c r="J15" s="28">
        <f t="shared" si="2"/>
        <v>12.7</v>
      </c>
      <c r="K15" s="28">
        <f t="shared" si="2"/>
        <v>16.4</v>
      </c>
      <c r="L15" s="17">
        <f t="shared" si="1"/>
        <v>129.13385826771653</v>
      </c>
      <c r="M15" s="28">
        <f t="shared" si="3"/>
        <v>-3.6999999999999993</v>
      </c>
      <c r="N15" s="45">
        <f t="shared" si="4"/>
        <v>0.8000000000000007</v>
      </c>
    </row>
    <row r="16" spans="1:14" ht="24.75" customHeight="1">
      <c r="A16" s="23" t="s">
        <v>22</v>
      </c>
      <c r="B16" s="24" t="s">
        <v>99</v>
      </c>
      <c r="C16" s="89">
        <v>0</v>
      </c>
      <c r="D16" s="26">
        <v>0.2</v>
      </c>
      <c r="E16" s="26">
        <v>0.2</v>
      </c>
      <c r="F16" s="17">
        <f t="shared" si="5"/>
        <v>100</v>
      </c>
      <c r="G16" s="26">
        <v>1.3</v>
      </c>
      <c r="H16" s="26">
        <v>0.9</v>
      </c>
      <c r="I16" s="17">
        <f t="shared" si="0"/>
        <v>69.23076923076923</v>
      </c>
      <c r="J16" s="28">
        <f t="shared" si="2"/>
        <v>1.5</v>
      </c>
      <c r="K16" s="28">
        <f t="shared" si="2"/>
        <v>1.1</v>
      </c>
      <c r="L16" s="17">
        <f t="shared" si="1"/>
        <v>73.33333333333334</v>
      </c>
      <c r="M16" s="28">
        <f t="shared" si="3"/>
        <v>0.3999999999999999</v>
      </c>
      <c r="N16" s="45">
        <f t="shared" si="4"/>
        <v>0.3999999999999999</v>
      </c>
    </row>
    <row r="17" spans="1:14" ht="24.75" customHeight="1">
      <c r="A17" s="23" t="s">
        <v>23</v>
      </c>
      <c r="B17" s="32" t="s">
        <v>100</v>
      </c>
      <c r="C17" s="89">
        <f>-0.1</f>
        <v>-0.1</v>
      </c>
      <c r="D17" s="26">
        <f>0.2+0.1</f>
        <v>0.30000000000000004</v>
      </c>
      <c r="E17" s="26">
        <f>0.2+0.1</f>
        <v>0.30000000000000004</v>
      </c>
      <c r="F17" s="68">
        <f t="shared" si="5"/>
        <v>100</v>
      </c>
      <c r="G17" s="26">
        <f>0.6+0.2</f>
        <v>0.8</v>
      </c>
      <c r="H17" s="26">
        <v>0.6</v>
      </c>
      <c r="I17" s="17">
        <f t="shared" si="0"/>
        <v>74.99999999999999</v>
      </c>
      <c r="J17" s="28">
        <f t="shared" si="2"/>
        <v>1.1</v>
      </c>
      <c r="K17" s="28">
        <f t="shared" si="2"/>
        <v>0.9</v>
      </c>
      <c r="L17" s="17">
        <f t="shared" si="1"/>
        <v>81.81818181818181</v>
      </c>
      <c r="M17" s="28">
        <f t="shared" si="3"/>
        <v>0.20000000000000007</v>
      </c>
      <c r="N17" s="45">
        <f t="shared" si="4"/>
        <v>0.09999999999999998</v>
      </c>
    </row>
    <row r="18" spans="1:14" ht="24.75" customHeight="1">
      <c r="A18" s="23" t="s">
        <v>24</v>
      </c>
      <c r="B18" s="32" t="s">
        <v>101</v>
      </c>
      <c r="C18" s="73">
        <v>1.5</v>
      </c>
      <c r="D18" s="26">
        <v>2.8</v>
      </c>
      <c r="E18" s="26">
        <v>1.4</v>
      </c>
      <c r="F18" s="17">
        <f t="shared" si="5"/>
        <v>50</v>
      </c>
      <c r="G18" s="26">
        <v>2.4</v>
      </c>
      <c r="H18" s="26">
        <v>1.3</v>
      </c>
      <c r="I18" s="17">
        <f t="shared" si="0"/>
        <v>54.16666666666667</v>
      </c>
      <c r="J18" s="28">
        <f t="shared" si="2"/>
        <v>5.199999999999999</v>
      </c>
      <c r="K18" s="28">
        <f t="shared" si="2"/>
        <v>2.7</v>
      </c>
      <c r="L18" s="17">
        <f t="shared" si="1"/>
        <v>51.92307692307694</v>
      </c>
      <c r="M18" s="28">
        <f t="shared" si="3"/>
        <v>2.499999999999999</v>
      </c>
      <c r="N18" s="45">
        <f t="shared" si="4"/>
        <v>3.999999999999999</v>
      </c>
    </row>
    <row r="19" spans="1:14" ht="25.5" customHeight="1">
      <c r="A19" s="23" t="s">
        <v>25</v>
      </c>
      <c r="B19" s="24" t="s">
        <v>102</v>
      </c>
      <c r="C19" s="73">
        <v>1.8</v>
      </c>
      <c r="D19" s="26">
        <v>4.2</v>
      </c>
      <c r="E19" s="26">
        <v>0.5</v>
      </c>
      <c r="F19" s="68">
        <f>E19/D19*100</f>
        <v>11.904761904761903</v>
      </c>
      <c r="G19" s="26">
        <v>4.7</v>
      </c>
      <c r="H19" s="26">
        <v>2.7</v>
      </c>
      <c r="I19" s="69">
        <f t="shared" si="0"/>
        <v>57.446808510638306</v>
      </c>
      <c r="J19" s="28">
        <f t="shared" si="2"/>
        <v>8.9</v>
      </c>
      <c r="K19" s="28">
        <f t="shared" si="2"/>
        <v>3.2</v>
      </c>
      <c r="L19" s="17">
        <f t="shared" si="1"/>
        <v>35.95505617977528</v>
      </c>
      <c r="M19" s="28">
        <f t="shared" si="3"/>
        <v>5.7</v>
      </c>
      <c r="N19" s="45">
        <f t="shared" si="4"/>
        <v>7.500000000000001</v>
      </c>
    </row>
    <row r="20" spans="1:14" ht="24.75" customHeight="1">
      <c r="A20" s="23" t="s">
        <v>26</v>
      </c>
      <c r="B20" s="32" t="s">
        <v>103</v>
      </c>
      <c r="C20" s="90"/>
      <c r="D20" s="26"/>
      <c r="E20" s="26"/>
      <c r="F20" s="179"/>
      <c r="G20" s="26"/>
      <c r="H20" s="26"/>
      <c r="I20" s="186"/>
      <c r="J20" s="28"/>
      <c r="K20" s="28"/>
      <c r="L20" s="186"/>
      <c r="M20" s="28"/>
      <c r="N20" s="45"/>
    </row>
    <row r="21" spans="1:14" ht="24.75" customHeight="1">
      <c r="A21" s="23" t="s">
        <v>27</v>
      </c>
      <c r="B21" s="35" t="s">
        <v>104</v>
      </c>
      <c r="C21" s="78">
        <v>0</v>
      </c>
      <c r="D21" s="26">
        <v>0.3</v>
      </c>
      <c r="E21" s="26">
        <v>0.1</v>
      </c>
      <c r="F21" s="68">
        <f aca="true" t="shared" si="6" ref="F21:F28">E21/D21*100</f>
        <v>33.333333333333336</v>
      </c>
      <c r="G21" s="26">
        <v>0.2</v>
      </c>
      <c r="H21" s="26">
        <v>0.4</v>
      </c>
      <c r="I21" s="69">
        <f t="shared" si="0"/>
        <v>200</v>
      </c>
      <c r="J21" s="28">
        <f t="shared" si="2"/>
        <v>0.5</v>
      </c>
      <c r="K21" s="28">
        <f t="shared" si="2"/>
        <v>0.5</v>
      </c>
      <c r="L21" s="17">
        <f t="shared" si="1"/>
        <v>100</v>
      </c>
      <c r="M21" s="28">
        <f t="shared" si="3"/>
        <v>0</v>
      </c>
      <c r="N21" s="45">
        <f t="shared" si="4"/>
        <v>0</v>
      </c>
    </row>
    <row r="22" spans="1:14" ht="24.75" customHeight="1">
      <c r="A22" s="23" t="s">
        <v>28</v>
      </c>
      <c r="B22" s="32" t="s">
        <v>105</v>
      </c>
      <c r="C22" s="91">
        <v>0</v>
      </c>
      <c r="D22" s="26">
        <v>1.3</v>
      </c>
      <c r="E22" s="26">
        <v>1.3</v>
      </c>
      <c r="F22" s="17">
        <f t="shared" si="6"/>
        <v>100</v>
      </c>
      <c r="G22" s="26">
        <v>7.4</v>
      </c>
      <c r="H22" s="26">
        <v>7.4</v>
      </c>
      <c r="I22" s="69">
        <f t="shared" si="0"/>
        <v>100</v>
      </c>
      <c r="J22" s="28">
        <f t="shared" si="2"/>
        <v>8.700000000000001</v>
      </c>
      <c r="K22" s="28">
        <f t="shared" si="2"/>
        <v>8.700000000000001</v>
      </c>
      <c r="L22" s="17">
        <f t="shared" si="1"/>
        <v>100</v>
      </c>
      <c r="M22" s="28">
        <f t="shared" si="3"/>
        <v>0</v>
      </c>
      <c r="N22" s="45">
        <f t="shared" si="4"/>
        <v>0</v>
      </c>
    </row>
    <row r="23" spans="1:14" ht="24.75" customHeight="1">
      <c r="A23" s="23" t="s">
        <v>29</v>
      </c>
      <c r="B23" s="32" t="s">
        <v>126</v>
      </c>
      <c r="C23" s="73">
        <v>0</v>
      </c>
      <c r="D23" s="26">
        <v>0.7</v>
      </c>
      <c r="E23" s="26">
        <v>0</v>
      </c>
      <c r="F23" s="180">
        <f t="shared" si="6"/>
        <v>0</v>
      </c>
      <c r="G23" s="26">
        <v>0.4</v>
      </c>
      <c r="H23" s="26">
        <v>0</v>
      </c>
      <c r="I23" s="17">
        <f t="shared" si="0"/>
        <v>0</v>
      </c>
      <c r="J23" s="28">
        <f t="shared" si="2"/>
        <v>1.1</v>
      </c>
      <c r="K23" s="28">
        <f t="shared" si="2"/>
        <v>0</v>
      </c>
      <c r="L23" s="17">
        <f t="shared" si="1"/>
        <v>0</v>
      </c>
      <c r="M23" s="28">
        <f t="shared" si="3"/>
        <v>1.1</v>
      </c>
      <c r="N23" s="45">
        <f t="shared" si="4"/>
        <v>1.1</v>
      </c>
    </row>
    <row r="24" spans="1:14" ht="24.75" customHeight="1">
      <c r="A24" s="23" t="s">
        <v>30</v>
      </c>
      <c r="B24" s="32" t="s">
        <v>106</v>
      </c>
      <c r="C24" s="73">
        <v>0.3</v>
      </c>
      <c r="D24" s="26">
        <v>7.4</v>
      </c>
      <c r="E24" s="26">
        <v>4.9</v>
      </c>
      <c r="F24" s="17">
        <f t="shared" si="6"/>
        <v>66.21621621621621</v>
      </c>
      <c r="G24" s="26">
        <v>10.2</v>
      </c>
      <c r="H24" s="26">
        <v>3.3</v>
      </c>
      <c r="I24" s="17">
        <f t="shared" si="0"/>
        <v>32.35294117647059</v>
      </c>
      <c r="J24" s="28">
        <f t="shared" si="2"/>
        <v>17.6</v>
      </c>
      <c r="K24" s="28">
        <f t="shared" si="2"/>
        <v>8.2</v>
      </c>
      <c r="L24" s="17">
        <f t="shared" si="1"/>
        <v>46.59090909090908</v>
      </c>
      <c r="M24" s="28">
        <f t="shared" si="3"/>
        <v>9.400000000000002</v>
      </c>
      <c r="N24" s="45">
        <f t="shared" si="4"/>
        <v>9.700000000000003</v>
      </c>
    </row>
    <row r="25" spans="1:14" ht="24.75" customHeight="1">
      <c r="A25" s="23" t="s">
        <v>31</v>
      </c>
      <c r="B25" s="24" t="s">
        <v>107</v>
      </c>
      <c r="C25" s="73">
        <v>1.5</v>
      </c>
      <c r="D25" s="26">
        <v>4.4</v>
      </c>
      <c r="E25" s="26">
        <v>1.2</v>
      </c>
      <c r="F25" s="17">
        <f t="shared" si="6"/>
        <v>27.27272727272727</v>
      </c>
      <c r="G25" s="26">
        <v>5.6</v>
      </c>
      <c r="H25" s="26">
        <v>2.7</v>
      </c>
      <c r="I25" s="17">
        <f t="shared" si="0"/>
        <v>48.21428571428572</v>
      </c>
      <c r="J25" s="28">
        <f t="shared" si="2"/>
        <v>10</v>
      </c>
      <c r="K25" s="28">
        <f t="shared" si="2"/>
        <v>3.9000000000000004</v>
      </c>
      <c r="L25" s="17">
        <f t="shared" si="1"/>
        <v>39</v>
      </c>
      <c r="M25" s="28">
        <f t="shared" si="3"/>
        <v>6.1</v>
      </c>
      <c r="N25" s="45">
        <f t="shared" si="4"/>
        <v>7.6</v>
      </c>
    </row>
    <row r="26" spans="1:14" ht="24.75" customHeight="1">
      <c r="A26" s="23" t="s">
        <v>32</v>
      </c>
      <c r="B26" s="32" t="s">
        <v>108</v>
      </c>
      <c r="C26" s="73"/>
      <c r="D26" s="26"/>
      <c r="E26" s="26"/>
      <c r="F26" s="187"/>
      <c r="G26" s="26"/>
      <c r="H26" s="26"/>
      <c r="I26" s="186"/>
      <c r="J26" s="28"/>
      <c r="K26" s="28"/>
      <c r="L26" s="186"/>
      <c r="M26" s="28"/>
      <c r="N26" s="45"/>
    </row>
    <row r="27" spans="1:14" ht="24.75" customHeight="1">
      <c r="A27" s="23" t="s">
        <v>33</v>
      </c>
      <c r="B27" s="32" t="s">
        <v>109</v>
      </c>
      <c r="C27" s="85"/>
      <c r="D27" s="26"/>
      <c r="E27" s="26"/>
      <c r="F27" s="186"/>
      <c r="G27" s="26"/>
      <c r="H27" s="26"/>
      <c r="I27" s="187"/>
      <c r="J27" s="28"/>
      <c r="K27" s="28"/>
      <c r="L27" s="17"/>
      <c r="M27" s="28"/>
      <c r="N27" s="45"/>
    </row>
    <row r="28" spans="1:14" ht="24.75" customHeight="1">
      <c r="A28" s="23" t="s">
        <v>34</v>
      </c>
      <c r="B28" s="24" t="s">
        <v>110</v>
      </c>
      <c r="C28" s="90">
        <v>1.7</v>
      </c>
      <c r="D28" s="26">
        <v>2.6</v>
      </c>
      <c r="E28" s="26">
        <v>0.8</v>
      </c>
      <c r="F28" s="17">
        <f t="shared" si="6"/>
        <v>30.76923076923077</v>
      </c>
      <c r="G28" s="26">
        <v>4.1</v>
      </c>
      <c r="H28" s="26">
        <v>6.2</v>
      </c>
      <c r="I28" s="187">
        <f t="shared" si="0"/>
        <v>151.21951219512198</v>
      </c>
      <c r="J28" s="28">
        <f t="shared" si="2"/>
        <v>6.699999999999999</v>
      </c>
      <c r="K28" s="28">
        <f t="shared" si="2"/>
        <v>7</v>
      </c>
      <c r="L28" s="17">
        <f t="shared" si="1"/>
        <v>104.47761194029852</v>
      </c>
      <c r="M28" s="28">
        <f t="shared" si="3"/>
        <v>-0.3000000000000007</v>
      </c>
      <c r="N28" s="45">
        <f t="shared" si="4"/>
        <v>1.3999999999999986</v>
      </c>
    </row>
    <row r="29" spans="1:14" ht="24.75" customHeight="1">
      <c r="A29" s="23" t="s">
        <v>35</v>
      </c>
      <c r="B29" s="39" t="s">
        <v>111</v>
      </c>
      <c r="C29" s="219" t="s">
        <v>129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 ht="24.75" customHeight="1">
      <c r="A30" s="23" t="s">
        <v>36</v>
      </c>
      <c r="B30" s="32" t="s">
        <v>112</v>
      </c>
      <c r="C30" s="93">
        <v>-2.2</v>
      </c>
      <c r="D30" s="26">
        <v>1.1</v>
      </c>
      <c r="E30" s="26">
        <v>0.6</v>
      </c>
      <c r="F30" s="180">
        <f>E30/D30*100</f>
        <v>54.54545454545454</v>
      </c>
      <c r="G30" s="26">
        <v>1.5</v>
      </c>
      <c r="H30" s="26">
        <v>0.7</v>
      </c>
      <c r="I30" s="69">
        <f t="shared" si="0"/>
        <v>46.666666666666664</v>
      </c>
      <c r="J30" s="28">
        <f aca="true" t="shared" si="7" ref="J30:K40">D30+G30</f>
        <v>2.6</v>
      </c>
      <c r="K30" s="28">
        <f t="shared" si="7"/>
        <v>1.2999999999999998</v>
      </c>
      <c r="L30" s="17">
        <f t="shared" si="1"/>
        <v>49.999999999999986</v>
      </c>
      <c r="M30" s="28">
        <f t="shared" si="3"/>
        <v>1.3000000000000003</v>
      </c>
      <c r="N30" s="45">
        <f t="shared" si="4"/>
        <v>-0.8999999999999999</v>
      </c>
    </row>
    <row r="31" spans="1:14" ht="24.75" customHeight="1">
      <c r="A31" s="23" t="s">
        <v>37</v>
      </c>
      <c r="B31" s="32" t="s">
        <v>113</v>
      </c>
      <c r="C31" s="73">
        <v>-0.2</v>
      </c>
      <c r="D31" s="26">
        <v>1.3</v>
      </c>
      <c r="E31" s="26">
        <v>0.5</v>
      </c>
      <c r="F31" s="17">
        <f>E31/D31*100</f>
        <v>38.46153846153846</v>
      </c>
      <c r="G31" s="26">
        <v>1.7</v>
      </c>
      <c r="H31" s="26">
        <v>1.1</v>
      </c>
      <c r="I31" s="17">
        <f t="shared" si="0"/>
        <v>64.70588235294117</v>
      </c>
      <c r="J31" s="28">
        <f t="shared" si="7"/>
        <v>3</v>
      </c>
      <c r="K31" s="28">
        <f t="shared" si="7"/>
        <v>1.6</v>
      </c>
      <c r="L31" s="17">
        <f t="shared" si="1"/>
        <v>53.333333333333336</v>
      </c>
      <c r="M31" s="28">
        <f t="shared" si="3"/>
        <v>1.4</v>
      </c>
      <c r="N31" s="45">
        <f t="shared" si="4"/>
        <v>1.1999999999999997</v>
      </c>
    </row>
    <row r="32" spans="1:14" ht="24.75" customHeight="1">
      <c r="A32" s="23" t="s">
        <v>38</v>
      </c>
      <c r="B32" s="32" t="s">
        <v>114</v>
      </c>
      <c r="C32" s="73">
        <v>-3.6</v>
      </c>
      <c r="D32" s="26">
        <v>221.7</v>
      </c>
      <c r="E32" s="26">
        <v>7.2</v>
      </c>
      <c r="F32" s="68">
        <f>E32/D32*100</f>
        <v>3.247631935047362</v>
      </c>
      <c r="G32" s="26">
        <v>245.6</v>
      </c>
      <c r="H32" s="26">
        <v>13.9</v>
      </c>
      <c r="I32" s="17">
        <f t="shared" si="0"/>
        <v>5.659609120521173</v>
      </c>
      <c r="J32" s="28">
        <f t="shared" si="7"/>
        <v>467.29999999999995</v>
      </c>
      <c r="K32" s="28">
        <f t="shared" si="7"/>
        <v>21.1</v>
      </c>
      <c r="L32" s="17">
        <f t="shared" si="1"/>
        <v>4.515300663385406</v>
      </c>
      <c r="M32" s="28">
        <f t="shared" si="3"/>
        <v>446.19999999999993</v>
      </c>
      <c r="N32" s="45">
        <f t="shared" si="4"/>
        <v>442.5999999999999</v>
      </c>
    </row>
    <row r="33" spans="1:14" ht="24.75" customHeight="1">
      <c r="A33" s="23" t="s">
        <v>39</v>
      </c>
      <c r="B33" s="32" t="s">
        <v>115</v>
      </c>
      <c r="C33" s="73">
        <v>10.6</v>
      </c>
      <c r="D33" s="94">
        <v>2.6</v>
      </c>
      <c r="E33" s="95">
        <v>13.2</v>
      </c>
      <c r="F33" s="182">
        <f>E33/D33*100</f>
        <v>507.6923076923077</v>
      </c>
      <c r="G33" s="26">
        <v>5.3</v>
      </c>
      <c r="H33" s="26">
        <v>5.3</v>
      </c>
      <c r="I33" s="17">
        <f t="shared" si="0"/>
        <v>100</v>
      </c>
      <c r="J33" s="28">
        <f t="shared" si="7"/>
        <v>7.9</v>
      </c>
      <c r="K33" s="28">
        <f t="shared" si="7"/>
        <v>18.5</v>
      </c>
      <c r="L33" s="17">
        <f t="shared" si="1"/>
        <v>234.17721518987344</v>
      </c>
      <c r="M33" s="28">
        <f t="shared" si="3"/>
        <v>-10.6</v>
      </c>
      <c r="N33" s="45">
        <f t="shared" si="4"/>
        <v>0</v>
      </c>
    </row>
    <row r="34" spans="1:14" ht="24.75" customHeight="1">
      <c r="A34" s="23" t="s">
        <v>40</v>
      </c>
      <c r="B34" s="24" t="s">
        <v>116</v>
      </c>
      <c r="C34" s="89">
        <v>1.1</v>
      </c>
      <c r="D34" s="37">
        <v>1.4</v>
      </c>
      <c r="E34" s="37">
        <v>0.3</v>
      </c>
      <c r="F34" s="17">
        <f>E34/D34*100</f>
        <v>21.42857142857143</v>
      </c>
      <c r="G34" s="26">
        <v>1.7</v>
      </c>
      <c r="H34" s="26">
        <v>2</v>
      </c>
      <c r="I34" s="69">
        <f t="shared" si="0"/>
        <v>117.64705882352942</v>
      </c>
      <c r="J34" s="28">
        <f t="shared" si="7"/>
        <v>3.0999999999999996</v>
      </c>
      <c r="K34" s="28">
        <f t="shared" si="7"/>
        <v>2.3</v>
      </c>
      <c r="L34" s="17">
        <f t="shared" si="1"/>
        <v>74.19354838709677</v>
      </c>
      <c r="M34" s="28">
        <f t="shared" si="3"/>
        <v>0.7999999999999998</v>
      </c>
      <c r="N34" s="45">
        <f t="shared" si="4"/>
        <v>1.8999999999999995</v>
      </c>
    </row>
    <row r="35" spans="1:14" ht="24.75" customHeight="1">
      <c r="A35" s="23" t="s">
        <v>41</v>
      </c>
      <c r="B35" s="32" t="s">
        <v>117</v>
      </c>
      <c r="C35" s="73">
        <v>-30.1</v>
      </c>
      <c r="D35" s="26">
        <v>24.2</v>
      </c>
      <c r="E35" s="26">
        <v>1.7</v>
      </c>
      <c r="F35" s="17">
        <f aca="true" t="shared" si="8" ref="F35:F42">E35/D35*100</f>
        <v>7.024793388429752</v>
      </c>
      <c r="G35" s="26">
        <v>27.4</v>
      </c>
      <c r="H35" s="26">
        <v>14.8</v>
      </c>
      <c r="I35" s="17">
        <f t="shared" si="0"/>
        <v>54.01459854014598</v>
      </c>
      <c r="J35" s="28">
        <f t="shared" si="7"/>
        <v>51.599999999999994</v>
      </c>
      <c r="K35" s="28">
        <f t="shared" si="7"/>
        <v>16.5</v>
      </c>
      <c r="L35" s="17">
        <f t="shared" si="1"/>
        <v>31.976744186046513</v>
      </c>
      <c r="M35" s="28">
        <f t="shared" si="3"/>
        <v>35.099999999999994</v>
      </c>
      <c r="N35" s="45">
        <f t="shared" si="4"/>
        <v>4.999999999999993</v>
      </c>
    </row>
    <row r="36" spans="1:14" ht="24.75" customHeight="1">
      <c r="A36" s="23" t="s">
        <v>42</v>
      </c>
      <c r="B36" s="32" t="s">
        <v>118</v>
      </c>
      <c r="C36" s="73">
        <f>-10.8</f>
        <v>-10.8</v>
      </c>
      <c r="D36" s="26">
        <v>12.8</v>
      </c>
      <c r="E36" s="26">
        <v>2.4</v>
      </c>
      <c r="F36" s="17">
        <f t="shared" si="8"/>
        <v>18.749999999999996</v>
      </c>
      <c r="G36" s="26">
        <v>27.7</v>
      </c>
      <c r="H36" s="26">
        <v>23</v>
      </c>
      <c r="I36" s="17">
        <f t="shared" si="0"/>
        <v>83.03249097472924</v>
      </c>
      <c r="J36" s="28">
        <f t="shared" si="7"/>
        <v>40.5</v>
      </c>
      <c r="K36" s="28">
        <f t="shared" si="7"/>
        <v>25.4</v>
      </c>
      <c r="L36" s="17">
        <f t="shared" si="1"/>
        <v>62.716049382716044</v>
      </c>
      <c r="M36" s="28">
        <f t="shared" si="3"/>
        <v>15.100000000000001</v>
      </c>
      <c r="N36" s="45">
        <f t="shared" si="4"/>
        <v>4.300000000000001</v>
      </c>
    </row>
    <row r="37" spans="1:14" ht="24.75" customHeight="1">
      <c r="A37" s="23" t="s">
        <v>43</v>
      </c>
      <c r="B37" s="32" t="s">
        <v>119</v>
      </c>
      <c r="C37" s="73">
        <v>-17.5</v>
      </c>
      <c r="D37" s="26">
        <v>17.9</v>
      </c>
      <c r="E37" s="26">
        <v>1</v>
      </c>
      <c r="F37" s="17">
        <f t="shared" si="8"/>
        <v>5.5865921787709505</v>
      </c>
      <c r="G37" s="26">
        <v>24.4</v>
      </c>
      <c r="H37" s="26">
        <v>6</v>
      </c>
      <c r="I37" s="17">
        <f t="shared" si="0"/>
        <v>24.590163934426233</v>
      </c>
      <c r="J37" s="28">
        <f t="shared" si="7"/>
        <v>42.3</v>
      </c>
      <c r="K37" s="28">
        <f t="shared" si="7"/>
        <v>7</v>
      </c>
      <c r="L37" s="17">
        <f t="shared" si="1"/>
        <v>16.548463356973997</v>
      </c>
      <c r="M37" s="28">
        <f t="shared" si="3"/>
        <v>35.3</v>
      </c>
      <c r="N37" s="45">
        <f t="shared" si="4"/>
        <v>17.799999999999997</v>
      </c>
    </row>
    <row r="38" spans="1:14" ht="24.75" customHeight="1">
      <c r="A38" s="23" t="s">
        <v>44</v>
      </c>
      <c r="B38" s="32" t="s">
        <v>127</v>
      </c>
      <c r="C38" s="73">
        <v>-4.8</v>
      </c>
      <c r="D38" s="26">
        <v>7.4</v>
      </c>
      <c r="E38" s="26">
        <v>0.4</v>
      </c>
      <c r="F38" s="17">
        <f t="shared" si="8"/>
        <v>5.405405405405405</v>
      </c>
      <c r="G38" s="26">
        <v>8.5</v>
      </c>
      <c r="H38" s="26">
        <v>7.7</v>
      </c>
      <c r="I38" s="17">
        <f t="shared" si="0"/>
        <v>90.58823529411765</v>
      </c>
      <c r="J38" s="28">
        <f t="shared" si="7"/>
        <v>15.9</v>
      </c>
      <c r="K38" s="28">
        <f t="shared" si="7"/>
        <v>8.1</v>
      </c>
      <c r="L38" s="17">
        <f t="shared" si="1"/>
        <v>50.943396226415096</v>
      </c>
      <c r="M38" s="28">
        <f t="shared" si="3"/>
        <v>7.800000000000001</v>
      </c>
      <c r="N38" s="45">
        <f t="shared" si="4"/>
        <v>3.0000000000000018</v>
      </c>
    </row>
    <row r="39" spans="1:14" ht="24.75" customHeight="1">
      <c r="A39" s="23" t="s">
        <v>45</v>
      </c>
      <c r="B39" s="24" t="s">
        <v>128</v>
      </c>
      <c r="C39" s="89">
        <v>-2.2</v>
      </c>
      <c r="D39" s="26">
        <v>4.9</v>
      </c>
      <c r="E39" s="26">
        <v>1.1</v>
      </c>
      <c r="F39" s="17">
        <f t="shared" si="8"/>
        <v>22.448979591836736</v>
      </c>
      <c r="G39" s="26">
        <v>4.5</v>
      </c>
      <c r="H39" s="26">
        <v>3.1</v>
      </c>
      <c r="I39" s="69">
        <f t="shared" si="0"/>
        <v>68.88888888888889</v>
      </c>
      <c r="J39" s="28">
        <f t="shared" si="7"/>
        <v>9.4</v>
      </c>
      <c r="K39" s="28">
        <f t="shared" si="7"/>
        <v>4.2</v>
      </c>
      <c r="L39" s="17">
        <f t="shared" si="1"/>
        <v>44.680851063829785</v>
      </c>
      <c r="M39" s="28">
        <f t="shared" si="3"/>
        <v>5.2</v>
      </c>
      <c r="N39" s="45">
        <f t="shared" si="4"/>
        <v>3</v>
      </c>
    </row>
    <row r="40" spans="1:14" ht="24.75" customHeight="1">
      <c r="A40" s="23" t="s">
        <v>46</v>
      </c>
      <c r="B40" s="32" t="s">
        <v>120</v>
      </c>
      <c r="C40" s="73">
        <v>3.8</v>
      </c>
      <c r="D40" s="26">
        <v>48.9</v>
      </c>
      <c r="E40" s="26">
        <v>32.5</v>
      </c>
      <c r="F40" s="17">
        <f t="shared" si="8"/>
        <v>66.46216768916156</v>
      </c>
      <c r="G40" s="26">
        <v>43.9</v>
      </c>
      <c r="H40" s="26">
        <v>25.3</v>
      </c>
      <c r="I40" s="69">
        <f t="shared" si="0"/>
        <v>57.63097949886106</v>
      </c>
      <c r="J40" s="28">
        <f t="shared" si="7"/>
        <v>92.8</v>
      </c>
      <c r="K40" s="28">
        <f t="shared" si="7"/>
        <v>57.8</v>
      </c>
      <c r="L40" s="17">
        <f t="shared" si="1"/>
        <v>62.28448275862068</v>
      </c>
      <c r="M40" s="28">
        <f t="shared" si="3"/>
        <v>35</v>
      </c>
      <c r="N40" s="45">
        <f t="shared" si="4"/>
        <v>38.8</v>
      </c>
    </row>
    <row r="41" spans="1:14" s="22" customFormat="1" ht="24.75" customHeight="1">
      <c r="A41" s="23" t="s">
        <v>47</v>
      </c>
      <c r="B41" s="43" t="s">
        <v>121</v>
      </c>
      <c r="C41" s="79">
        <f>SUM(C42:C42)</f>
        <v>-527.6</v>
      </c>
      <c r="D41" s="45">
        <f>SUM(D42:D42)</f>
        <v>5616.2</v>
      </c>
      <c r="E41" s="45">
        <f>SUM(E42:E42)</f>
        <v>614.5</v>
      </c>
      <c r="F41" s="17">
        <f t="shared" si="8"/>
        <v>10.941561910188383</v>
      </c>
      <c r="G41" s="45">
        <f>SUM(G42:G42)</f>
        <v>5730.5</v>
      </c>
      <c r="H41" s="45">
        <f>SUM(H42:H42)</f>
        <v>2454.2</v>
      </c>
      <c r="I41" s="17">
        <f t="shared" si="0"/>
        <v>42.82697844865195</v>
      </c>
      <c r="J41" s="45">
        <f>SUM(J42:J42)</f>
        <v>11346.7</v>
      </c>
      <c r="K41" s="45">
        <f>SUM(K42:K42)</f>
        <v>3068.7</v>
      </c>
      <c r="L41" s="17">
        <f t="shared" si="1"/>
        <v>27.044867670776522</v>
      </c>
      <c r="M41" s="45">
        <f>SUM(M42:M42)</f>
        <v>8278</v>
      </c>
      <c r="N41" s="45">
        <f>SUM(N42:N42)</f>
        <v>7750.400000000001</v>
      </c>
    </row>
    <row r="42" spans="1:14" s="22" customFormat="1" ht="24.75" customHeight="1">
      <c r="A42" s="14"/>
      <c r="B42" s="24" t="s">
        <v>122</v>
      </c>
      <c r="C42" s="73">
        <v>-527.6</v>
      </c>
      <c r="D42" s="26">
        <v>5616.2</v>
      </c>
      <c r="E42" s="82">
        <v>614.5</v>
      </c>
      <c r="F42" s="17">
        <f t="shared" si="8"/>
        <v>10.941561910188383</v>
      </c>
      <c r="G42" s="26">
        <v>5730.5</v>
      </c>
      <c r="H42" s="26">
        <v>2454.2</v>
      </c>
      <c r="I42" s="17">
        <f t="shared" si="0"/>
        <v>42.82697844865195</v>
      </c>
      <c r="J42" s="28">
        <f>D42+G42</f>
        <v>11346.7</v>
      </c>
      <c r="K42" s="28">
        <f>E42+H42</f>
        <v>3068.7</v>
      </c>
      <c r="L42" s="17">
        <f t="shared" si="1"/>
        <v>27.044867670776522</v>
      </c>
      <c r="M42" s="28">
        <f t="shared" si="3"/>
        <v>8278</v>
      </c>
      <c r="N42" s="85">
        <f t="shared" si="4"/>
        <v>7750.400000000001</v>
      </c>
    </row>
    <row r="43" spans="1:14" ht="31.5" customHeight="1">
      <c r="A43" s="23"/>
      <c r="B43" s="43" t="s">
        <v>123</v>
      </c>
      <c r="C43" s="79">
        <f>C41+C7</f>
        <v>-587</v>
      </c>
      <c r="D43" s="45">
        <f>D41+D7</f>
        <v>6028.9</v>
      </c>
      <c r="E43" s="45">
        <f>E41+E7</f>
        <v>716.7</v>
      </c>
      <c r="F43" s="17">
        <f>E43/D43*100</f>
        <v>11.887740715553418</v>
      </c>
      <c r="G43" s="45">
        <f>G7+G41</f>
        <v>6217.2</v>
      </c>
      <c r="H43" s="45">
        <f>H7+H41</f>
        <v>2637.2999999999997</v>
      </c>
      <c r="I43" s="17">
        <f t="shared" si="0"/>
        <v>42.41941710094576</v>
      </c>
      <c r="J43" s="79">
        <f>J7+J41</f>
        <v>12246.1</v>
      </c>
      <c r="K43" s="79">
        <f>K7+K41</f>
        <v>3354</v>
      </c>
      <c r="L43" s="17">
        <f>K43/J43*100</f>
        <v>27.388311380766122</v>
      </c>
      <c r="M43" s="45">
        <f>M7+M41</f>
        <v>8892.1</v>
      </c>
      <c r="N43" s="45">
        <f>N7+N41</f>
        <v>8305.1</v>
      </c>
    </row>
    <row r="44" spans="1:26" ht="27.75" customHeight="1">
      <c r="A44" s="48"/>
      <c r="B44" s="49"/>
      <c r="C44" s="50"/>
      <c r="D44" s="46"/>
      <c r="E44" s="46"/>
      <c r="F44" s="20"/>
      <c r="G44" s="46"/>
      <c r="H44" s="46"/>
      <c r="I44" s="20"/>
      <c r="J44" s="52"/>
      <c r="K44" s="52"/>
      <c r="L44" s="20"/>
      <c r="M44" s="20"/>
      <c r="N44" s="46"/>
      <c r="O44" s="46"/>
      <c r="P44" s="46"/>
      <c r="Q44" s="46"/>
      <c r="R44" s="46"/>
      <c r="S44" s="46"/>
      <c r="T44" s="46"/>
      <c r="U44" s="46"/>
      <c r="V44" s="46"/>
      <c r="W44" s="13"/>
      <c r="X44" s="13"/>
      <c r="Y44" s="13"/>
      <c r="Z44" s="13"/>
    </row>
    <row r="45" spans="1:26" s="22" customFormat="1" ht="19.5" customHeight="1" hidden="1">
      <c r="A45" s="51"/>
      <c r="B45" s="22" t="s">
        <v>124</v>
      </c>
      <c r="C45" s="52"/>
      <c r="D45" s="19"/>
      <c r="E45" s="19"/>
      <c r="F45" s="53"/>
      <c r="G45" s="2"/>
      <c r="H45" s="2"/>
      <c r="I45" s="185"/>
      <c r="J45" s="2"/>
      <c r="K45" s="2"/>
      <c r="L45" s="185"/>
      <c r="M45" s="223" t="s">
        <v>139</v>
      </c>
      <c r="N45" s="224"/>
      <c r="O45" s="53"/>
      <c r="P45" s="53"/>
      <c r="Q45" s="53"/>
      <c r="R45" s="53"/>
      <c r="S45" s="53"/>
      <c r="T45" s="19"/>
      <c r="U45" s="54"/>
      <c r="V45" s="54"/>
      <c r="W45" s="55"/>
      <c r="X45" s="54"/>
      <c r="Z45" s="54"/>
    </row>
    <row r="46" spans="1:26" s="22" customFormat="1" ht="7.5" customHeight="1" hidden="1">
      <c r="A46" s="21"/>
      <c r="C46" s="52"/>
      <c r="D46" s="19"/>
      <c r="E46" s="19"/>
      <c r="F46" s="53"/>
      <c r="G46" s="60"/>
      <c r="H46" s="60"/>
      <c r="I46" s="61"/>
      <c r="J46" s="60"/>
      <c r="K46" s="60"/>
      <c r="L46" s="61"/>
      <c r="M46" s="6"/>
      <c r="N46" s="62" t="s">
        <v>137</v>
      </c>
      <c r="O46" s="53"/>
      <c r="P46" s="53"/>
      <c r="Q46" s="53"/>
      <c r="R46" s="53"/>
      <c r="S46" s="53"/>
      <c r="T46" s="19"/>
      <c r="U46" s="54"/>
      <c r="V46" s="54"/>
      <c r="W46" s="55"/>
      <c r="X46" s="54"/>
      <c r="Z46" s="54"/>
    </row>
    <row r="47" spans="1:26" s="22" customFormat="1" ht="19.5" customHeight="1" hidden="1">
      <c r="A47" s="51"/>
      <c r="B47" s="22" t="s">
        <v>125</v>
      </c>
      <c r="C47" s="52"/>
      <c r="D47" s="19"/>
      <c r="E47" s="19"/>
      <c r="F47" s="53"/>
      <c r="G47" s="6"/>
      <c r="I47" s="22" t="s">
        <v>54</v>
      </c>
      <c r="N47" s="6"/>
      <c r="O47" s="53"/>
      <c r="P47" s="53"/>
      <c r="Q47" s="53"/>
      <c r="R47" s="53"/>
      <c r="S47" s="53"/>
      <c r="T47" s="19"/>
      <c r="U47" s="54"/>
      <c r="V47" s="54"/>
      <c r="W47" s="55"/>
      <c r="X47" s="54"/>
      <c r="Z47" s="54"/>
    </row>
    <row r="48" spans="1:26" ht="24.75" customHeight="1">
      <c r="A48" s="6"/>
      <c r="C48" s="56"/>
      <c r="D48" s="57"/>
      <c r="E48" s="57"/>
      <c r="F48" s="53"/>
      <c r="O48" s="57"/>
      <c r="P48" s="57"/>
      <c r="Q48" s="57"/>
      <c r="R48" s="57"/>
      <c r="S48" s="57"/>
      <c r="T48" s="57"/>
      <c r="U48" s="8"/>
      <c r="V48" s="8"/>
      <c r="W48" s="58"/>
      <c r="X48" s="8"/>
      <c r="Z48" s="8"/>
    </row>
    <row r="49" spans="1:14" s="3" customFormat="1" ht="58.5" customHeight="1">
      <c r="A49" s="1"/>
      <c r="B49" s="213" t="s">
        <v>140</v>
      </c>
      <c r="C49" s="213"/>
      <c r="D49" s="213"/>
      <c r="E49" s="213"/>
      <c r="F49" s="213"/>
      <c r="G49" s="6"/>
      <c r="H49" s="6"/>
      <c r="I49" s="22"/>
      <c r="J49" s="6"/>
      <c r="K49" s="6"/>
      <c r="L49" s="22"/>
      <c r="M49" s="6"/>
      <c r="N49" s="6"/>
    </row>
    <row r="50" spans="1:14" ht="73.5" customHeight="1" hidden="1">
      <c r="A50" s="214" t="s">
        <v>136</v>
      </c>
      <c r="B50" s="214"/>
      <c r="C50" s="59"/>
      <c r="D50" s="59"/>
      <c r="E50" s="59"/>
      <c r="F50" s="59"/>
      <c r="G50" s="57"/>
      <c r="H50" s="57"/>
      <c r="I50" s="184"/>
      <c r="J50" s="57"/>
      <c r="K50" s="57"/>
      <c r="L50" s="184"/>
      <c r="M50" s="57"/>
      <c r="N50" s="57"/>
    </row>
    <row r="51" spans="2:14" ht="24.75" customHeight="1">
      <c r="B51" s="96"/>
      <c r="G51" s="57"/>
      <c r="H51" s="57"/>
      <c r="I51" s="184"/>
      <c r="J51" s="57"/>
      <c r="K51" s="57"/>
      <c r="L51" s="184"/>
      <c r="M51" s="57"/>
      <c r="N51" s="57"/>
    </row>
    <row r="52" spans="2:14" ht="24.75" customHeight="1">
      <c r="B52" s="96"/>
      <c r="G52" s="57"/>
      <c r="H52" s="57"/>
      <c r="I52" s="184"/>
      <c r="J52" s="57"/>
      <c r="K52" s="57"/>
      <c r="L52" s="184"/>
      <c r="M52" s="57"/>
      <c r="N52" s="57"/>
    </row>
    <row r="53" spans="7:14" ht="18.75">
      <c r="G53" s="57"/>
      <c r="H53" s="57"/>
      <c r="I53" s="184"/>
      <c r="J53" s="57"/>
      <c r="K53" s="57"/>
      <c r="L53" s="184"/>
      <c r="M53" s="57"/>
      <c r="N53" s="57"/>
    </row>
    <row r="54" spans="2:14" ht="24.75" customHeight="1">
      <c r="B54" s="96"/>
      <c r="G54" s="57"/>
      <c r="H54" s="57"/>
      <c r="I54" s="184"/>
      <c r="J54" s="57"/>
      <c r="K54" s="57"/>
      <c r="L54" s="184"/>
      <c r="M54" s="57"/>
      <c r="N54" s="57"/>
    </row>
    <row r="55" spans="2:14" ht="24.75" customHeight="1">
      <c r="B55" s="96"/>
      <c r="G55" s="57"/>
      <c r="H55" s="57"/>
      <c r="I55" s="184"/>
      <c r="J55" s="57"/>
      <c r="K55" s="57"/>
      <c r="L55" s="184"/>
      <c r="M55" s="57"/>
      <c r="N55" s="57"/>
    </row>
    <row r="56" spans="7:14" ht="24.75" customHeight="1">
      <c r="G56" s="57"/>
      <c r="H56" s="57"/>
      <c r="I56" s="184"/>
      <c r="J56" s="57"/>
      <c r="K56" s="57"/>
      <c r="L56" s="184"/>
      <c r="M56" s="57"/>
      <c r="N56" s="57"/>
    </row>
    <row r="57" spans="7:14" ht="24.75" customHeight="1">
      <c r="G57" s="57"/>
      <c r="H57" s="57"/>
      <c r="I57" s="184"/>
      <c r="J57" s="57"/>
      <c r="K57" s="57"/>
      <c r="L57" s="184"/>
      <c r="M57" s="57"/>
      <c r="N57" s="57"/>
    </row>
    <row r="58" spans="7:14" ht="24.75" customHeight="1">
      <c r="G58" s="57"/>
      <c r="H58" s="57"/>
      <c r="I58" s="184"/>
      <c r="J58" s="57"/>
      <c r="K58" s="57"/>
      <c r="L58" s="184"/>
      <c r="M58" s="57"/>
      <c r="N58" s="57"/>
    </row>
    <row r="59" spans="7:14" ht="24.75" customHeight="1">
      <c r="G59" s="57"/>
      <c r="H59" s="57"/>
      <c r="I59" s="184"/>
      <c r="J59" s="57"/>
      <c r="K59" s="57"/>
      <c r="L59" s="184"/>
      <c r="M59" s="57"/>
      <c r="N59" s="57"/>
    </row>
    <row r="60" spans="7:14" ht="24.75" customHeight="1">
      <c r="G60" s="57"/>
      <c r="H60" s="57"/>
      <c r="I60" s="184"/>
      <c r="J60" s="57"/>
      <c r="K60" s="57"/>
      <c r="L60" s="184"/>
      <c r="M60" s="57"/>
      <c r="N60" s="57"/>
    </row>
    <row r="61" spans="7:14" ht="24.75" customHeight="1">
      <c r="G61" s="57"/>
      <c r="H61" s="57"/>
      <c r="I61" s="184"/>
      <c r="J61" s="57"/>
      <c r="K61" s="57"/>
      <c r="L61" s="184"/>
      <c r="M61" s="57"/>
      <c r="N61" s="57"/>
    </row>
    <row r="62" spans="7:14" ht="24.75" customHeight="1">
      <c r="G62" s="57"/>
      <c r="H62" s="57"/>
      <c r="I62" s="184"/>
      <c r="J62" s="57"/>
      <c r="K62" s="57"/>
      <c r="L62" s="184"/>
      <c r="M62" s="57"/>
      <c r="N62" s="57"/>
    </row>
    <row r="63" spans="7:14" ht="24.75" customHeight="1">
      <c r="G63" s="57"/>
      <c r="H63" s="57"/>
      <c r="I63" s="184"/>
      <c r="J63" s="57"/>
      <c r="K63" s="57"/>
      <c r="L63" s="184"/>
      <c r="M63" s="57"/>
      <c r="N63" s="57"/>
    </row>
    <row r="64" spans="7:14" ht="24.75" customHeight="1">
      <c r="G64" s="57"/>
      <c r="H64" s="57"/>
      <c r="I64" s="184"/>
      <c r="J64" s="57"/>
      <c r="K64" s="57"/>
      <c r="L64" s="184"/>
      <c r="M64" s="57"/>
      <c r="N64" s="57"/>
    </row>
    <row r="65" spans="7:14" ht="24.75" customHeight="1">
      <c r="G65" s="57"/>
      <c r="H65" s="57"/>
      <c r="I65" s="184"/>
      <c r="J65" s="57"/>
      <c r="K65" s="57"/>
      <c r="L65" s="184"/>
      <c r="M65" s="57"/>
      <c r="N65" s="57"/>
    </row>
    <row r="66" spans="7:14" ht="24.75" customHeight="1">
      <c r="G66" s="57"/>
      <c r="H66" s="57"/>
      <c r="I66" s="184"/>
      <c r="J66" s="57"/>
      <c r="K66" s="57"/>
      <c r="L66" s="184"/>
      <c r="M66" s="57"/>
      <c r="N66" s="57"/>
    </row>
    <row r="67" spans="7:14" ht="24.75" customHeight="1">
      <c r="G67" s="57"/>
      <c r="H67" s="57"/>
      <c r="I67" s="184"/>
      <c r="J67" s="57"/>
      <c r="K67" s="57"/>
      <c r="L67" s="184"/>
      <c r="M67" s="57"/>
      <c r="N67" s="57"/>
    </row>
    <row r="68" spans="7:14" ht="24.75" customHeight="1">
      <c r="G68" s="57"/>
      <c r="H68" s="57"/>
      <c r="I68" s="184"/>
      <c r="J68" s="57"/>
      <c r="K68" s="57"/>
      <c r="L68" s="184"/>
      <c r="M68" s="57"/>
      <c r="N68" s="57"/>
    </row>
    <row r="69" spans="7:14" ht="24.75" customHeight="1">
      <c r="G69" s="57"/>
      <c r="H69" s="57"/>
      <c r="I69" s="184"/>
      <c r="J69" s="57"/>
      <c r="K69" s="57"/>
      <c r="L69" s="184"/>
      <c r="M69" s="57"/>
      <c r="N69" s="57"/>
    </row>
    <row r="70" spans="7:14" ht="24.75" customHeight="1">
      <c r="G70" s="57"/>
      <c r="H70" s="57"/>
      <c r="I70" s="184"/>
      <c r="J70" s="57"/>
      <c r="K70" s="57"/>
      <c r="L70" s="184"/>
      <c r="M70" s="57"/>
      <c r="N70" s="57"/>
    </row>
    <row r="71" spans="7:14" ht="24.75" customHeight="1">
      <c r="G71" s="57"/>
      <c r="H71" s="57"/>
      <c r="I71" s="184"/>
      <c r="J71" s="57"/>
      <c r="K71" s="57"/>
      <c r="L71" s="184"/>
      <c r="M71" s="57"/>
      <c r="N71" s="57"/>
    </row>
    <row r="72" spans="7:14" ht="24.75" customHeight="1">
      <c r="G72" s="57"/>
      <c r="H72" s="57"/>
      <c r="I72" s="184"/>
      <c r="J72" s="57"/>
      <c r="K72" s="57"/>
      <c r="L72" s="184"/>
      <c r="M72" s="57"/>
      <c r="N72" s="57"/>
    </row>
    <row r="73" spans="7:14" ht="24.75" customHeight="1">
      <c r="G73" s="57"/>
      <c r="H73" s="57"/>
      <c r="I73" s="184"/>
      <c r="J73" s="57"/>
      <c r="K73" s="57"/>
      <c r="L73" s="184"/>
      <c r="M73" s="57"/>
      <c r="N73" s="57"/>
    </row>
    <row r="74" spans="7:14" ht="24.75" customHeight="1">
      <c r="G74" s="57"/>
      <c r="H74" s="57"/>
      <c r="I74" s="184"/>
      <c r="J74" s="57"/>
      <c r="K74" s="57"/>
      <c r="L74" s="184"/>
      <c r="M74" s="57"/>
      <c r="N74" s="57"/>
    </row>
    <row r="75" spans="7:14" ht="24.75" customHeight="1">
      <c r="G75" s="57"/>
      <c r="H75" s="57"/>
      <c r="I75" s="184"/>
      <c r="J75" s="57"/>
      <c r="K75" s="57"/>
      <c r="L75" s="184"/>
      <c r="M75" s="57"/>
      <c r="N75" s="57"/>
    </row>
    <row r="76" spans="7:14" ht="24.75" customHeight="1">
      <c r="G76" s="57"/>
      <c r="H76" s="57"/>
      <c r="I76" s="184"/>
      <c r="J76" s="57"/>
      <c r="K76" s="57"/>
      <c r="L76" s="184"/>
      <c r="M76" s="57"/>
      <c r="N76" s="57"/>
    </row>
    <row r="77" spans="7:14" ht="24.75" customHeight="1">
      <c r="G77" s="57"/>
      <c r="H77" s="57"/>
      <c r="I77" s="184"/>
      <c r="J77" s="57"/>
      <c r="K77" s="57"/>
      <c r="L77" s="184"/>
      <c r="M77" s="57"/>
      <c r="N77" s="57"/>
    </row>
    <row r="78" spans="7:14" ht="24.75" customHeight="1">
      <c r="G78" s="57"/>
      <c r="H78" s="57"/>
      <c r="I78" s="184"/>
      <c r="J78" s="57"/>
      <c r="K78" s="57"/>
      <c r="L78" s="184"/>
      <c r="M78" s="57"/>
      <c r="N78" s="57"/>
    </row>
    <row r="79" spans="7:14" ht="24.75" customHeight="1">
      <c r="G79" s="57"/>
      <c r="H79" s="57"/>
      <c r="I79" s="184"/>
      <c r="J79" s="57"/>
      <c r="K79" s="57"/>
      <c r="L79" s="184"/>
      <c r="M79" s="57"/>
      <c r="N79" s="57"/>
    </row>
    <row r="80" spans="7:14" ht="24.75" customHeight="1">
      <c r="G80" s="57"/>
      <c r="H80" s="57"/>
      <c r="I80" s="184"/>
      <c r="J80" s="57"/>
      <c r="K80" s="57"/>
      <c r="L80" s="184"/>
      <c r="M80" s="57"/>
      <c r="N80" s="57"/>
    </row>
    <row r="81" spans="7:14" ht="24.75" customHeight="1">
      <c r="G81" s="57"/>
      <c r="H81" s="57"/>
      <c r="I81" s="184"/>
      <c r="J81" s="57"/>
      <c r="K81" s="57"/>
      <c r="L81" s="184"/>
      <c r="M81" s="57"/>
      <c r="N81" s="57"/>
    </row>
    <row r="82" spans="7:14" ht="24.75" customHeight="1">
      <c r="G82" s="57"/>
      <c r="H82" s="57"/>
      <c r="I82" s="184"/>
      <c r="J82" s="57"/>
      <c r="K82" s="57"/>
      <c r="L82" s="184"/>
      <c r="M82" s="57"/>
      <c r="N82" s="57"/>
    </row>
    <row r="83" spans="7:14" ht="24.75" customHeight="1">
      <c r="G83" s="57"/>
      <c r="H83" s="57"/>
      <c r="I83" s="184"/>
      <c r="J83" s="57"/>
      <c r="K83" s="57"/>
      <c r="L83" s="184"/>
      <c r="M83" s="57"/>
      <c r="N83" s="57"/>
    </row>
    <row r="84" spans="7:14" ht="24.75" customHeight="1">
      <c r="G84" s="57"/>
      <c r="H84" s="57"/>
      <c r="I84" s="184"/>
      <c r="J84" s="57"/>
      <c r="K84" s="57"/>
      <c r="L84" s="184"/>
      <c r="M84" s="57"/>
      <c r="N84" s="57"/>
    </row>
    <row r="85" spans="7:14" ht="24.75" customHeight="1">
      <c r="G85" s="57"/>
      <c r="H85" s="57"/>
      <c r="I85" s="184"/>
      <c r="J85" s="57"/>
      <c r="K85" s="57"/>
      <c r="L85" s="184"/>
      <c r="M85" s="57"/>
      <c r="N85" s="57"/>
    </row>
    <row r="86" spans="7:14" ht="24.75" customHeight="1">
      <c r="G86" s="57"/>
      <c r="H86" s="57"/>
      <c r="I86" s="184"/>
      <c r="J86" s="57"/>
      <c r="K86" s="57"/>
      <c r="L86" s="184"/>
      <c r="M86" s="57"/>
      <c r="N86" s="57"/>
    </row>
    <row r="87" spans="7:14" ht="24.75" customHeight="1">
      <c r="G87" s="57"/>
      <c r="H87" s="57"/>
      <c r="I87" s="184"/>
      <c r="J87" s="57"/>
      <c r="K87" s="57"/>
      <c r="L87" s="184"/>
      <c r="M87" s="57"/>
      <c r="N87" s="57"/>
    </row>
    <row r="88" spans="7:14" ht="24.75" customHeight="1">
      <c r="G88" s="57"/>
      <c r="H88" s="57"/>
      <c r="I88" s="184"/>
      <c r="J88" s="57"/>
      <c r="K88" s="57"/>
      <c r="L88" s="184"/>
      <c r="M88" s="57"/>
      <c r="N88" s="57"/>
    </row>
    <row r="89" spans="7:14" ht="24.75" customHeight="1">
      <c r="G89" s="57"/>
      <c r="H89" s="57"/>
      <c r="I89" s="184"/>
      <c r="J89" s="57"/>
      <c r="K89" s="57"/>
      <c r="L89" s="184"/>
      <c r="M89" s="57"/>
      <c r="N89" s="57"/>
    </row>
    <row r="90" spans="7:14" ht="24.75" customHeight="1">
      <c r="G90" s="57"/>
      <c r="H90" s="57"/>
      <c r="I90" s="184"/>
      <c r="J90" s="57"/>
      <c r="K90" s="57"/>
      <c r="L90" s="184"/>
      <c r="M90" s="57"/>
      <c r="N90" s="57"/>
    </row>
    <row r="91" spans="7:14" ht="24.75" customHeight="1">
      <c r="G91" s="57"/>
      <c r="H91" s="57"/>
      <c r="I91" s="184"/>
      <c r="J91" s="57"/>
      <c r="K91" s="57"/>
      <c r="L91" s="184"/>
      <c r="M91" s="57"/>
      <c r="N91" s="57"/>
    </row>
    <row r="92" spans="7:14" ht="24.75" customHeight="1">
      <c r="G92" s="57"/>
      <c r="H92" s="57"/>
      <c r="I92" s="184"/>
      <c r="J92" s="57"/>
      <c r="K92" s="57"/>
      <c r="L92" s="184"/>
      <c r="M92" s="57"/>
      <c r="N92" s="57"/>
    </row>
    <row r="93" spans="7:14" ht="24.75" customHeight="1">
      <c r="G93" s="57"/>
      <c r="H93" s="57"/>
      <c r="I93" s="184"/>
      <c r="J93" s="57"/>
      <c r="K93" s="57"/>
      <c r="L93" s="184"/>
      <c r="M93" s="57"/>
      <c r="N93" s="57"/>
    </row>
    <row r="94" spans="7:14" ht="24.75" customHeight="1">
      <c r="G94" s="57"/>
      <c r="H94" s="57"/>
      <c r="I94" s="184"/>
      <c r="J94" s="57"/>
      <c r="K94" s="57"/>
      <c r="L94" s="184"/>
      <c r="M94" s="57"/>
      <c r="N94" s="57"/>
    </row>
    <row r="95" spans="7:14" ht="24.75" customHeight="1">
      <c r="G95" s="57"/>
      <c r="H95" s="57"/>
      <c r="I95" s="184"/>
      <c r="J95" s="57"/>
      <c r="K95" s="57"/>
      <c r="L95" s="184"/>
      <c r="M95" s="57"/>
      <c r="N95" s="57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13">
    <mergeCell ref="M45:N45"/>
    <mergeCell ref="A50:B50"/>
    <mergeCell ref="B4:F4"/>
    <mergeCell ref="C29:N29"/>
    <mergeCell ref="B49:F49"/>
    <mergeCell ref="I1:N1"/>
    <mergeCell ref="B2:N2"/>
    <mergeCell ref="B3:N3"/>
    <mergeCell ref="D5:F5"/>
    <mergeCell ref="G5:I5"/>
    <mergeCell ref="J5:L5"/>
    <mergeCell ref="M5:M6"/>
    <mergeCell ref="N5:N6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95"/>
  <sheetViews>
    <sheetView view="pageBreakPreview" zoomScale="75" zoomScaleNormal="50" zoomScaleSheetLayoutView="75" zoomScalePageLayoutView="0" workbookViewId="0" topLeftCell="A1">
      <pane xSplit="6" ySplit="8" topLeftCell="G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O7" sqref="O7"/>
    </sheetView>
  </sheetViews>
  <sheetFormatPr defaultColWidth="6.75390625" defaultRowHeight="12.75"/>
  <cols>
    <col min="1" max="1" width="6.00390625" style="5" customWidth="1"/>
    <col min="2" max="2" width="49.25390625" style="6" customWidth="1"/>
    <col min="3" max="3" width="17.625" style="63" customWidth="1"/>
    <col min="4" max="4" width="21.125" style="6" customWidth="1"/>
    <col min="5" max="5" width="21.00390625" style="6" customWidth="1"/>
    <col min="6" max="6" width="14.00390625" style="22" customWidth="1"/>
    <col min="7" max="7" width="14.75390625" style="6" customWidth="1"/>
    <col min="8" max="8" width="16.00390625" style="6" customWidth="1"/>
    <col min="9" max="9" width="11.125" style="22" customWidth="1"/>
    <col min="10" max="11" width="14.75390625" style="6" customWidth="1"/>
    <col min="12" max="12" width="11.125" style="22" customWidth="1"/>
    <col min="13" max="13" width="16.75390625" style="6" customWidth="1"/>
    <col min="14" max="14" width="18.25390625" style="6" customWidth="1"/>
    <col min="15" max="15" width="13.625" style="6" customWidth="1"/>
    <col min="16" max="16" width="9.875" style="6" customWidth="1"/>
    <col min="17" max="16384" width="6.75390625" style="6" customWidth="1"/>
  </cols>
  <sheetData>
    <row r="1" spans="9:14" ht="19.5" customHeight="1">
      <c r="I1" s="216" t="s">
        <v>51</v>
      </c>
      <c r="J1" s="216"/>
      <c r="K1" s="216"/>
      <c r="L1" s="216"/>
      <c r="M1" s="216"/>
      <c r="N1" s="216"/>
    </row>
    <row r="2" spans="2:14" ht="18.75">
      <c r="B2" s="218" t="s">
        <v>132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ht="27" customHeight="1">
      <c r="B3" s="197" t="s">
        <v>144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4" ht="18.75">
      <c r="B4" s="217"/>
      <c r="C4" s="217"/>
      <c r="D4" s="217"/>
      <c r="E4" s="217"/>
      <c r="F4" s="217"/>
      <c r="N4" s="151" t="s">
        <v>7</v>
      </c>
    </row>
    <row r="5" spans="1:14" ht="58.5" customHeight="1">
      <c r="A5" s="64" t="s">
        <v>56</v>
      </c>
      <c r="B5" s="10"/>
      <c r="C5" s="159" t="s">
        <v>1</v>
      </c>
      <c r="D5" s="190" t="s">
        <v>146</v>
      </c>
      <c r="E5" s="191"/>
      <c r="F5" s="192"/>
      <c r="G5" s="210" t="s">
        <v>147</v>
      </c>
      <c r="H5" s="211"/>
      <c r="I5" s="212"/>
      <c r="J5" s="190" t="s">
        <v>148</v>
      </c>
      <c r="K5" s="191"/>
      <c r="L5" s="192"/>
      <c r="M5" s="193" t="s">
        <v>149</v>
      </c>
      <c r="N5" s="193" t="s">
        <v>145</v>
      </c>
    </row>
    <row r="6" spans="1:14" ht="30" customHeight="1">
      <c r="A6" s="65" t="s">
        <v>57</v>
      </c>
      <c r="B6" s="12" t="s">
        <v>89</v>
      </c>
      <c r="C6" s="160" t="s">
        <v>143</v>
      </c>
      <c r="D6" s="11" t="s">
        <v>150</v>
      </c>
      <c r="E6" s="11" t="s">
        <v>91</v>
      </c>
      <c r="F6" s="66" t="s">
        <v>0</v>
      </c>
      <c r="G6" s="11" t="s">
        <v>150</v>
      </c>
      <c r="H6" s="11" t="s">
        <v>91</v>
      </c>
      <c r="I6" s="66" t="s">
        <v>0</v>
      </c>
      <c r="J6" s="11" t="s">
        <v>150</v>
      </c>
      <c r="K6" s="11" t="s">
        <v>91</v>
      </c>
      <c r="L6" s="66" t="s">
        <v>0</v>
      </c>
      <c r="M6" s="194"/>
      <c r="N6" s="194"/>
    </row>
    <row r="7" spans="1:16" s="22" customFormat="1" ht="36" customHeight="1">
      <c r="A7" s="14"/>
      <c r="B7" s="15" t="s">
        <v>90</v>
      </c>
      <c r="C7" s="68">
        <f>SUM(C8:C40)</f>
        <v>-79.40000000000002</v>
      </c>
      <c r="D7" s="17">
        <f>SUM(D8:D40)</f>
        <v>1481.3000000000006</v>
      </c>
      <c r="E7" s="17">
        <f>SUM(E8:E40)</f>
        <v>449.1000000000001</v>
      </c>
      <c r="F7" s="17">
        <f aca="true" t="shared" si="0" ref="F7:F12">E7/D7*100</f>
        <v>30.317963950583938</v>
      </c>
      <c r="G7" s="17">
        <f>SUM(G8:G40)</f>
        <v>1449.7</v>
      </c>
      <c r="H7" s="17">
        <f>SUM(H8:H40)</f>
        <v>1677.3</v>
      </c>
      <c r="I7" s="17">
        <f aca="true" t="shared" si="1" ref="I7:I43">H7/G7*100</f>
        <v>115.69979995861213</v>
      </c>
      <c r="J7" s="68">
        <f>SUM(J8:J40)</f>
        <v>2931</v>
      </c>
      <c r="K7" s="68">
        <f>SUM(K8:K40)</f>
        <v>2126.3999999999996</v>
      </c>
      <c r="L7" s="17">
        <f aca="true" t="shared" si="2" ref="L7:L42">K7/J7*100</f>
        <v>72.54861821903786</v>
      </c>
      <c r="M7" s="68">
        <f>SUM(M8:M40)</f>
        <v>804.6</v>
      </c>
      <c r="N7" s="68">
        <f>SUM(N8:N40)</f>
        <v>725.2</v>
      </c>
      <c r="O7" s="19">
        <f>SUM(M8:M40)</f>
        <v>804.6</v>
      </c>
      <c r="P7" s="19">
        <f>SUM(N8:N40)</f>
        <v>725.2</v>
      </c>
    </row>
    <row r="8" spans="1:14" ht="24.75" customHeight="1">
      <c r="A8" s="23" t="s">
        <v>14</v>
      </c>
      <c r="B8" s="24" t="s">
        <v>92</v>
      </c>
      <c r="C8" s="73">
        <v>-1.4</v>
      </c>
      <c r="D8" s="26">
        <v>115.4</v>
      </c>
      <c r="E8" s="26">
        <f>18.6+88.7</f>
        <v>107.30000000000001</v>
      </c>
      <c r="F8" s="17">
        <f t="shared" si="0"/>
        <v>92.98093587521664</v>
      </c>
      <c r="G8" s="26">
        <f>26.9+100.7</f>
        <v>127.6</v>
      </c>
      <c r="H8" s="26">
        <f>28.8+93.7</f>
        <v>122.5</v>
      </c>
      <c r="I8" s="17">
        <f t="shared" si="1"/>
        <v>96.00313479623826</v>
      </c>
      <c r="J8" s="28">
        <f>D8+G8</f>
        <v>243</v>
      </c>
      <c r="K8" s="28">
        <f>E8+H8</f>
        <v>229.8</v>
      </c>
      <c r="L8" s="17">
        <f t="shared" si="2"/>
        <v>94.56790123456791</v>
      </c>
      <c r="M8" s="28">
        <f>J8-K8</f>
        <v>13.199999999999989</v>
      </c>
      <c r="N8" s="45">
        <f>C8+J8-K8</f>
        <v>11.799999999999983</v>
      </c>
    </row>
    <row r="9" spans="1:14" ht="24.75" customHeight="1">
      <c r="A9" s="23" t="s">
        <v>15</v>
      </c>
      <c r="B9" s="24" t="s">
        <v>93</v>
      </c>
      <c r="C9" s="73">
        <v>-22.8</v>
      </c>
      <c r="D9" s="26">
        <v>35.7</v>
      </c>
      <c r="E9" s="26">
        <v>1.9</v>
      </c>
      <c r="F9" s="17">
        <f t="shared" si="0"/>
        <v>5.322128851540615</v>
      </c>
      <c r="G9" s="26">
        <v>33.9</v>
      </c>
      <c r="H9" s="26">
        <v>46.8</v>
      </c>
      <c r="I9" s="17">
        <f t="shared" si="1"/>
        <v>138.05309734513273</v>
      </c>
      <c r="J9" s="28">
        <f aca="true" t="shared" si="3" ref="J9:K28">D9+G9</f>
        <v>69.6</v>
      </c>
      <c r="K9" s="28">
        <f t="shared" si="3"/>
        <v>48.699999999999996</v>
      </c>
      <c r="L9" s="17">
        <f t="shared" si="2"/>
        <v>69.97126436781609</v>
      </c>
      <c r="M9" s="28">
        <f aca="true" t="shared" si="4" ref="M9:M42">J9-K9</f>
        <v>20.9</v>
      </c>
      <c r="N9" s="45">
        <f aca="true" t="shared" si="5" ref="N9:N28">C9+J9-K9</f>
        <v>-1.8999999999999986</v>
      </c>
    </row>
    <row r="10" spans="1:14" ht="24.75" customHeight="1">
      <c r="A10" s="23" t="s">
        <v>16</v>
      </c>
      <c r="B10" s="32" t="s">
        <v>135</v>
      </c>
      <c r="C10" s="73">
        <v>0</v>
      </c>
      <c r="D10" s="26">
        <v>3.6</v>
      </c>
      <c r="E10" s="26">
        <v>3.6</v>
      </c>
      <c r="F10" s="17">
        <f t="shared" si="0"/>
        <v>100</v>
      </c>
      <c r="G10" s="26">
        <v>4.3</v>
      </c>
      <c r="H10" s="26">
        <v>4.3</v>
      </c>
      <c r="I10" s="69">
        <f t="shared" si="1"/>
        <v>100</v>
      </c>
      <c r="J10" s="28">
        <f t="shared" si="3"/>
        <v>7.9</v>
      </c>
      <c r="K10" s="28">
        <f t="shared" si="3"/>
        <v>7.9</v>
      </c>
      <c r="L10" s="17">
        <f t="shared" si="2"/>
        <v>100</v>
      </c>
      <c r="M10" s="28">
        <f t="shared" si="4"/>
        <v>0</v>
      </c>
      <c r="N10" s="45">
        <f t="shared" si="5"/>
        <v>0</v>
      </c>
    </row>
    <row r="11" spans="1:14" ht="22.5" customHeight="1">
      <c r="A11" s="23" t="s">
        <v>17</v>
      </c>
      <c r="B11" s="24" t="s">
        <v>94</v>
      </c>
      <c r="C11" s="73">
        <v>2.1</v>
      </c>
      <c r="D11" s="26">
        <f>7.4+326.4</f>
        <v>333.79999999999995</v>
      </c>
      <c r="E11" s="26">
        <f>48.3</f>
        <v>48.3</v>
      </c>
      <c r="F11" s="17">
        <f t="shared" si="0"/>
        <v>14.46974236069503</v>
      </c>
      <c r="G11" s="26">
        <f>11.1+56.5</f>
        <v>67.6</v>
      </c>
      <c r="H11" s="26">
        <f>16+248.7</f>
        <v>264.7</v>
      </c>
      <c r="I11" s="17">
        <f>H11/G11*100</f>
        <v>391.56804733727813</v>
      </c>
      <c r="J11" s="28">
        <f t="shared" si="3"/>
        <v>401.4</v>
      </c>
      <c r="K11" s="28">
        <f t="shared" si="3"/>
        <v>313</v>
      </c>
      <c r="L11" s="17">
        <f t="shared" si="2"/>
        <v>77.97708021923269</v>
      </c>
      <c r="M11" s="28">
        <f t="shared" si="4"/>
        <v>88.39999999999998</v>
      </c>
      <c r="N11" s="45">
        <f t="shared" si="5"/>
        <v>90.5</v>
      </c>
    </row>
    <row r="12" spans="1:14" ht="24.75" customHeight="1">
      <c r="A12" s="23" t="s">
        <v>18</v>
      </c>
      <c r="B12" s="24" t="s">
        <v>95</v>
      </c>
      <c r="C12" s="73">
        <v>-1.2</v>
      </c>
      <c r="D12" s="26">
        <v>19.5</v>
      </c>
      <c r="E12" s="26">
        <v>12.6</v>
      </c>
      <c r="F12" s="68">
        <f t="shared" si="0"/>
        <v>64.61538461538461</v>
      </c>
      <c r="G12" s="26">
        <v>28.6</v>
      </c>
      <c r="H12" s="26">
        <v>24.9</v>
      </c>
      <c r="I12" s="17">
        <f>H12/G12*100</f>
        <v>87.06293706293705</v>
      </c>
      <c r="J12" s="28">
        <f t="shared" si="3"/>
        <v>48.1</v>
      </c>
      <c r="K12" s="28">
        <f t="shared" si="3"/>
        <v>37.5</v>
      </c>
      <c r="L12" s="17">
        <f t="shared" si="2"/>
        <v>77.96257796257797</v>
      </c>
      <c r="M12" s="28">
        <f t="shared" si="4"/>
        <v>10.600000000000001</v>
      </c>
      <c r="N12" s="45">
        <f t="shared" si="5"/>
        <v>9.399999999999999</v>
      </c>
    </row>
    <row r="13" spans="1:14" ht="24.75" customHeight="1">
      <c r="A13" s="23" t="s">
        <v>19</v>
      </c>
      <c r="B13" s="24" t="s">
        <v>96</v>
      </c>
      <c r="C13" s="73">
        <v>0.3</v>
      </c>
      <c r="D13" s="26">
        <v>44.7</v>
      </c>
      <c r="E13" s="26">
        <v>38.4</v>
      </c>
      <c r="F13" s="17">
        <f aca="true" t="shared" si="6" ref="F13:F23">E13/D13*100</f>
        <v>85.90604026845637</v>
      </c>
      <c r="G13" s="26">
        <v>54.4</v>
      </c>
      <c r="H13" s="26">
        <v>55.6</v>
      </c>
      <c r="I13" s="69">
        <f t="shared" si="1"/>
        <v>102.20588235294119</v>
      </c>
      <c r="J13" s="28">
        <f t="shared" si="3"/>
        <v>99.1</v>
      </c>
      <c r="K13" s="28">
        <f t="shared" si="3"/>
        <v>94</v>
      </c>
      <c r="L13" s="17">
        <f t="shared" si="2"/>
        <v>94.85368314833502</v>
      </c>
      <c r="M13" s="28">
        <f t="shared" si="4"/>
        <v>5.099999999999994</v>
      </c>
      <c r="N13" s="45">
        <f t="shared" si="5"/>
        <v>5.3999999999999915</v>
      </c>
    </row>
    <row r="14" spans="1:14" ht="24.75" customHeight="1">
      <c r="A14" s="23" t="s">
        <v>20</v>
      </c>
      <c r="B14" s="24" t="s">
        <v>97</v>
      </c>
      <c r="C14" s="73">
        <v>-70.7</v>
      </c>
      <c r="D14" s="26">
        <v>19.2</v>
      </c>
      <c r="E14" s="26">
        <v>0.4</v>
      </c>
      <c r="F14" s="17">
        <f t="shared" si="6"/>
        <v>2.0833333333333335</v>
      </c>
      <c r="G14" s="26">
        <v>27</v>
      </c>
      <c r="H14" s="26">
        <v>1.4</v>
      </c>
      <c r="I14" s="17">
        <f t="shared" si="1"/>
        <v>5.185185185185185</v>
      </c>
      <c r="J14" s="28">
        <f t="shared" si="3"/>
        <v>46.2</v>
      </c>
      <c r="K14" s="28">
        <f t="shared" si="3"/>
        <v>1.7999999999999998</v>
      </c>
      <c r="L14" s="17">
        <f t="shared" si="2"/>
        <v>3.896103896103895</v>
      </c>
      <c r="M14" s="28">
        <f t="shared" si="4"/>
        <v>44.400000000000006</v>
      </c>
      <c r="N14" s="45">
        <f t="shared" si="5"/>
        <v>-26.3</v>
      </c>
    </row>
    <row r="15" spans="1:14" ht="24.75" customHeight="1">
      <c r="A15" s="23" t="s">
        <v>21</v>
      </c>
      <c r="B15" s="24" t="s">
        <v>98</v>
      </c>
      <c r="C15" s="73">
        <v>-3.5</v>
      </c>
      <c r="D15" s="26">
        <f>21.9+11.2</f>
        <v>33.099999999999994</v>
      </c>
      <c r="E15" s="26">
        <f>14.6+9.4</f>
        <v>24</v>
      </c>
      <c r="F15" s="17">
        <f t="shared" si="6"/>
        <v>72.50755287009065</v>
      </c>
      <c r="G15" s="26">
        <f>23.6+16</f>
        <v>39.6</v>
      </c>
      <c r="H15" s="26">
        <f>28.6+18.6</f>
        <v>47.2</v>
      </c>
      <c r="I15" s="69">
        <f t="shared" si="1"/>
        <v>119.1919191919192</v>
      </c>
      <c r="J15" s="28">
        <f t="shared" si="3"/>
        <v>72.69999999999999</v>
      </c>
      <c r="K15" s="28">
        <f t="shared" si="3"/>
        <v>71.2</v>
      </c>
      <c r="L15" s="17">
        <f t="shared" si="2"/>
        <v>97.93672627235215</v>
      </c>
      <c r="M15" s="28">
        <f t="shared" si="4"/>
        <v>1.4999999999999858</v>
      </c>
      <c r="N15" s="45">
        <f t="shared" si="5"/>
        <v>-2.000000000000014</v>
      </c>
    </row>
    <row r="16" spans="1:14" ht="24.75" customHeight="1">
      <c r="A16" s="23" t="s">
        <v>22</v>
      </c>
      <c r="B16" s="24" t="s">
        <v>99</v>
      </c>
      <c r="C16" s="89">
        <v>-5.8</v>
      </c>
      <c r="D16" s="26">
        <v>4.4</v>
      </c>
      <c r="E16" s="26">
        <v>2.1</v>
      </c>
      <c r="F16" s="17">
        <f t="shared" si="6"/>
        <v>47.72727272727273</v>
      </c>
      <c r="G16" s="26">
        <v>5.4</v>
      </c>
      <c r="H16" s="26">
        <v>5.2</v>
      </c>
      <c r="I16" s="17">
        <f t="shared" si="1"/>
        <v>96.29629629629629</v>
      </c>
      <c r="J16" s="28">
        <f t="shared" si="3"/>
        <v>9.8</v>
      </c>
      <c r="K16" s="28">
        <f t="shared" si="3"/>
        <v>7.300000000000001</v>
      </c>
      <c r="L16" s="17">
        <f t="shared" si="2"/>
        <v>74.48979591836735</v>
      </c>
      <c r="M16" s="28">
        <f t="shared" si="4"/>
        <v>2.5</v>
      </c>
      <c r="N16" s="45">
        <f t="shared" si="5"/>
        <v>-3.3</v>
      </c>
    </row>
    <row r="17" spans="1:14" ht="24.75" customHeight="1">
      <c r="A17" s="23" t="s">
        <v>23</v>
      </c>
      <c r="B17" s="32" t="s">
        <v>100</v>
      </c>
      <c r="C17" s="89">
        <f>10.7</f>
        <v>10.7</v>
      </c>
      <c r="D17" s="26">
        <f>0.4+12.7</f>
        <v>13.1</v>
      </c>
      <c r="E17" s="26">
        <v>0.4</v>
      </c>
      <c r="F17" s="17">
        <f t="shared" si="6"/>
        <v>3.053435114503817</v>
      </c>
      <c r="G17" s="26">
        <f>20.7+15.8</f>
        <v>36.5</v>
      </c>
      <c r="H17" s="26">
        <f>20.7+7.7</f>
        <v>28.4</v>
      </c>
      <c r="I17" s="17">
        <f t="shared" si="1"/>
        <v>77.80821917808218</v>
      </c>
      <c r="J17" s="28">
        <f t="shared" si="3"/>
        <v>49.6</v>
      </c>
      <c r="K17" s="28">
        <f t="shared" si="3"/>
        <v>28.799999999999997</v>
      </c>
      <c r="L17" s="17">
        <f t="shared" si="2"/>
        <v>58.06451612903225</v>
      </c>
      <c r="M17" s="28">
        <f t="shared" si="4"/>
        <v>20.800000000000004</v>
      </c>
      <c r="N17" s="45">
        <f t="shared" si="5"/>
        <v>31.5</v>
      </c>
    </row>
    <row r="18" spans="1:14" ht="24.75" customHeight="1">
      <c r="A18" s="23" t="s">
        <v>24</v>
      </c>
      <c r="B18" s="32" t="s">
        <v>101</v>
      </c>
      <c r="C18" s="73">
        <v>1.6</v>
      </c>
      <c r="D18" s="26">
        <v>28.5</v>
      </c>
      <c r="E18" s="26">
        <v>11.9</v>
      </c>
      <c r="F18" s="17">
        <f t="shared" si="6"/>
        <v>41.75438596491228</v>
      </c>
      <c r="G18" s="26">
        <v>41.8</v>
      </c>
      <c r="H18" s="26">
        <v>37.7</v>
      </c>
      <c r="I18" s="17">
        <f t="shared" si="1"/>
        <v>90.19138755980862</v>
      </c>
      <c r="J18" s="28">
        <f t="shared" si="3"/>
        <v>70.3</v>
      </c>
      <c r="K18" s="28">
        <f t="shared" si="3"/>
        <v>49.6</v>
      </c>
      <c r="L18" s="17">
        <f t="shared" si="2"/>
        <v>70.5547652916074</v>
      </c>
      <c r="M18" s="28">
        <f t="shared" si="4"/>
        <v>20.699999999999996</v>
      </c>
      <c r="N18" s="45">
        <f t="shared" si="5"/>
        <v>22.29999999999999</v>
      </c>
    </row>
    <row r="19" spans="1:14" ht="24.75" customHeight="1">
      <c r="A19" s="23" t="s">
        <v>25</v>
      </c>
      <c r="B19" s="24" t="s">
        <v>102</v>
      </c>
      <c r="C19" s="73">
        <v>5.8</v>
      </c>
      <c r="D19" s="26">
        <v>55.3</v>
      </c>
      <c r="E19" s="26">
        <v>35.8</v>
      </c>
      <c r="F19" s="68">
        <f t="shared" si="6"/>
        <v>64.7377938517179</v>
      </c>
      <c r="G19" s="26">
        <v>64.3</v>
      </c>
      <c r="H19" s="26">
        <v>89.6</v>
      </c>
      <c r="I19" s="69">
        <f t="shared" si="1"/>
        <v>139.34681181959564</v>
      </c>
      <c r="J19" s="28">
        <f t="shared" si="3"/>
        <v>119.6</v>
      </c>
      <c r="K19" s="28">
        <f t="shared" si="3"/>
        <v>125.39999999999999</v>
      </c>
      <c r="L19" s="17">
        <f t="shared" si="2"/>
        <v>104.8494983277592</v>
      </c>
      <c r="M19" s="28">
        <f t="shared" si="4"/>
        <v>-5.799999999999997</v>
      </c>
      <c r="N19" s="45">
        <f t="shared" si="5"/>
        <v>0</v>
      </c>
    </row>
    <row r="20" spans="1:14" ht="24.75" customHeight="1">
      <c r="A20" s="23" t="s">
        <v>26</v>
      </c>
      <c r="B20" s="32" t="s">
        <v>103</v>
      </c>
      <c r="C20" s="90">
        <v>0</v>
      </c>
      <c r="D20" s="26">
        <v>2.7</v>
      </c>
      <c r="E20" s="26">
        <v>0</v>
      </c>
      <c r="F20" s="17">
        <f t="shared" si="6"/>
        <v>0</v>
      </c>
      <c r="G20" s="26">
        <v>12.2</v>
      </c>
      <c r="H20" s="26">
        <v>14.9</v>
      </c>
      <c r="I20" s="69">
        <f t="shared" si="1"/>
        <v>122.13114754098362</v>
      </c>
      <c r="J20" s="28">
        <f t="shared" si="3"/>
        <v>14.899999999999999</v>
      </c>
      <c r="K20" s="28">
        <f t="shared" si="3"/>
        <v>14.9</v>
      </c>
      <c r="L20" s="17">
        <f t="shared" si="2"/>
        <v>100.00000000000003</v>
      </c>
      <c r="M20" s="28">
        <f t="shared" si="4"/>
        <v>0</v>
      </c>
      <c r="N20" s="45">
        <f t="shared" si="5"/>
        <v>0</v>
      </c>
    </row>
    <row r="21" spans="1:14" ht="24.75" customHeight="1">
      <c r="A21" s="23" t="s">
        <v>27</v>
      </c>
      <c r="B21" s="35" t="s">
        <v>104</v>
      </c>
      <c r="C21" s="78">
        <v>0</v>
      </c>
      <c r="D21" s="26">
        <v>1.4</v>
      </c>
      <c r="E21" s="26">
        <v>0.2</v>
      </c>
      <c r="F21" s="179">
        <f t="shared" si="6"/>
        <v>14.285714285714288</v>
      </c>
      <c r="G21" s="26">
        <v>2.3</v>
      </c>
      <c r="H21" s="26">
        <v>3.5</v>
      </c>
      <c r="I21" s="69">
        <f t="shared" si="1"/>
        <v>152.17391304347828</v>
      </c>
      <c r="J21" s="28">
        <f t="shared" si="3"/>
        <v>3.6999999999999997</v>
      </c>
      <c r="K21" s="28">
        <f t="shared" si="3"/>
        <v>3.7</v>
      </c>
      <c r="L21" s="17">
        <f t="shared" si="2"/>
        <v>100.00000000000003</v>
      </c>
      <c r="M21" s="28">
        <f t="shared" si="4"/>
        <v>0</v>
      </c>
      <c r="N21" s="45">
        <f t="shared" si="5"/>
        <v>0</v>
      </c>
    </row>
    <row r="22" spans="1:14" ht="24" customHeight="1">
      <c r="A22" s="23" t="s">
        <v>28</v>
      </c>
      <c r="B22" s="32" t="s">
        <v>105</v>
      </c>
      <c r="C22" s="91">
        <v>0</v>
      </c>
      <c r="D22" s="26">
        <v>4.5</v>
      </c>
      <c r="E22" s="26">
        <v>4.5</v>
      </c>
      <c r="F22" s="17">
        <f t="shared" si="6"/>
        <v>100</v>
      </c>
      <c r="G22" s="26">
        <v>9.1</v>
      </c>
      <c r="H22" s="26">
        <v>9.1</v>
      </c>
      <c r="I22" s="69">
        <f t="shared" si="1"/>
        <v>100</v>
      </c>
      <c r="J22" s="28">
        <f t="shared" si="3"/>
        <v>13.6</v>
      </c>
      <c r="K22" s="28">
        <f t="shared" si="3"/>
        <v>13.6</v>
      </c>
      <c r="L22" s="17">
        <f t="shared" si="2"/>
        <v>100</v>
      </c>
      <c r="M22" s="28">
        <f t="shared" si="4"/>
        <v>0</v>
      </c>
      <c r="N22" s="45">
        <f t="shared" si="5"/>
        <v>0</v>
      </c>
    </row>
    <row r="23" spans="1:14" ht="24.75" customHeight="1">
      <c r="A23" s="23" t="s">
        <v>29</v>
      </c>
      <c r="B23" s="32" t="s">
        <v>126</v>
      </c>
      <c r="C23" s="73">
        <v>1.8</v>
      </c>
      <c r="D23" s="26">
        <v>1.6</v>
      </c>
      <c r="E23" s="26">
        <v>0</v>
      </c>
      <c r="F23" s="17">
        <f t="shared" si="6"/>
        <v>0</v>
      </c>
      <c r="G23" s="26">
        <v>1.7</v>
      </c>
      <c r="H23" s="26">
        <v>2.1</v>
      </c>
      <c r="I23" s="17">
        <f t="shared" si="1"/>
        <v>123.52941176470588</v>
      </c>
      <c r="J23" s="28">
        <f t="shared" si="3"/>
        <v>3.3</v>
      </c>
      <c r="K23" s="28">
        <f t="shared" si="3"/>
        <v>2.1</v>
      </c>
      <c r="L23" s="17">
        <f t="shared" si="2"/>
        <v>63.63636363636365</v>
      </c>
      <c r="M23" s="28">
        <f t="shared" si="4"/>
        <v>1.1999999999999997</v>
      </c>
      <c r="N23" s="45">
        <f t="shared" si="5"/>
        <v>2.9999999999999996</v>
      </c>
    </row>
    <row r="24" spans="1:14" ht="24.75" customHeight="1">
      <c r="A24" s="23" t="s">
        <v>30</v>
      </c>
      <c r="B24" s="32" t="s">
        <v>106</v>
      </c>
      <c r="C24" s="73">
        <v>0</v>
      </c>
      <c r="D24" s="26">
        <v>58.6</v>
      </c>
      <c r="E24" s="26">
        <v>29.8</v>
      </c>
      <c r="F24" s="17">
        <f>E24/D24*100</f>
        <v>50.85324232081911</v>
      </c>
      <c r="G24" s="26">
        <v>64.9</v>
      </c>
      <c r="H24" s="26">
        <v>65.6</v>
      </c>
      <c r="I24" s="17">
        <f t="shared" si="1"/>
        <v>101.07858243451462</v>
      </c>
      <c r="J24" s="28">
        <f t="shared" si="3"/>
        <v>123.5</v>
      </c>
      <c r="K24" s="28">
        <f t="shared" si="3"/>
        <v>95.39999999999999</v>
      </c>
      <c r="L24" s="17">
        <f t="shared" si="2"/>
        <v>77.24696356275304</v>
      </c>
      <c r="M24" s="28">
        <f t="shared" si="4"/>
        <v>28.10000000000001</v>
      </c>
      <c r="N24" s="45">
        <f t="shared" si="5"/>
        <v>28.10000000000001</v>
      </c>
    </row>
    <row r="25" spans="1:14" ht="24.75" customHeight="1">
      <c r="A25" s="23" t="s">
        <v>31</v>
      </c>
      <c r="B25" s="24" t="s">
        <v>107</v>
      </c>
      <c r="C25" s="73">
        <v>-0.1</v>
      </c>
      <c r="D25" s="26">
        <v>45.3</v>
      </c>
      <c r="E25" s="26">
        <v>2.2</v>
      </c>
      <c r="F25" s="17">
        <f>E25/D25*100</f>
        <v>4.856512141280354</v>
      </c>
      <c r="G25" s="26">
        <v>55.9</v>
      </c>
      <c r="H25" s="26">
        <v>68.3</v>
      </c>
      <c r="I25" s="17">
        <f t="shared" si="1"/>
        <v>122.18246869409658</v>
      </c>
      <c r="J25" s="28">
        <f t="shared" si="3"/>
        <v>101.19999999999999</v>
      </c>
      <c r="K25" s="28">
        <f t="shared" si="3"/>
        <v>70.5</v>
      </c>
      <c r="L25" s="17">
        <f t="shared" si="2"/>
        <v>69.66403162055337</v>
      </c>
      <c r="M25" s="28">
        <f t="shared" si="4"/>
        <v>30.69999999999999</v>
      </c>
      <c r="N25" s="45">
        <f t="shared" si="5"/>
        <v>30.599999999999994</v>
      </c>
    </row>
    <row r="26" spans="1:14" ht="24.75" customHeight="1">
      <c r="A26" s="23" t="s">
        <v>32</v>
      </c>
      <c r="B26" s="32" t="s">
        <v>108</v>
      </c>
      <c r="C26" s="73">
        <v>0</v>
      </c>
      <c r="D26" s="26">
        <v>0.5</v>
      </c>
      <c r="E26" s="26">
        <v>0.4</v>
      </c>
      <c r="F26" s="17">
        <f>E26/D26*100</f>
        <v>80</v>
      </c>
      <c r="G26" s="26">
        <v>0.7</v>
      </c>
      <c r="H26" s="26">
        <v>0.6</v>
      </c>
      <c r="I26" s="17">
        <f t="shared" si="1"/>
        <v>85.71428571428572</v>
      </c>
      <c r="J26" s="28">
        <f t="shared" si="3"/>
        <v>1.2</v>
      </c>
      <c r="K26" s="28">
        <f t="shared" si="3"/>
        <v>1</v>
      </c>
      <c r="L26" s="17">
        <f t="shared" si="2"/>
        <v>83.33333333333334</v>
      </c>
      <c r="M26" s="28">
        <f t="shared" si="4"/>
        <v>0.19999999999999996</v>
      </c>
      <c r="N26" s="45">
        <f t="shared" si="5"/>
        <v>0.19999999999999996</v>
      </c>
    </row>
    <row r="27" spans="1:14" ht="24.75" customHeight="1">
      <c r="A27" s="23" t="s">
        <v>33</v>
      </c>
      <c r="B27" s="32" t="s">
        <v>109</v>
      </c>
      <c r="C27" s="73">
        <v>0</v>
      </c>
      <c r="D27" s="26">
        <v>12.2</v>
      </c>
      <c r="E27" s="26">
        <v>12.1</v>
      </c>
      <c r="F27" s="182">
        <f>E27/D27*100</f>
        <v>99.18032786885246</v>
      </c>
      <c r="G27" s="26">
        <v>22.1</v>
      </c>
      <c r="H27" s="26">
        <v>0.4</v>
      </c>
      <c r="I27" s="17">
        <f t="shared" si="1"/>
        <v>1.8099547511312215</v>
      </c>
      <c r="J27" s="28">
        <f t="shared" si="3"/>
        <v>34.3</v>
      </c>
      <c r="K27" s="28">
        <f t="shared" si="3"/>
        <v>12.5</v>
      </c>
      <c r="L27" s="17">
        <f t="shared" si="2"/>
        <v>36.44314868804665</v>
      </c>
      <c r="M27" s="28">
        <f t="shared" si="4"/>
        <v>21.799999999999997</v>
      </c>
      <c r="N27" s="45">
        <f t="shared" si="5"/>
        <v>21.799999999999997</v>
      </c>
    </row>
    <row r="28" spans="1:14" ht="24.75" customHeight="1">
      <c r="A28" s="23" t="s">
        <v>34</v>
      </c>
      <c r="B28" s="24" t="s">
        <v>110</v>
      </c>
      <c r="C28" s="90">
        <v>0</v>
      </c>
      <c r="D28" s="26">
        <v>53.1</v>
      </c>
      <c r="E28" s="26">
        <v>5.2</v>
      </c>
      <c r="F28" s="179">
        <f>E28/D28*100</f>
        <v>9.792843691148775</v>
      </c>
      <c r="G28" s="26">
        <v>56.4</v>
      </c>
      <c r="H28" s="26">
        <v>101.6</v>
      </c>
      <c r="I28" s="17">
        <f t="shared" si="1"/>
        <v>180.1418439716312</v>
      </c>
      <c r="J28" s="28">
        <f t="shared" si="3"/>
        <v>109.5</v>
      </c>
      <c r="K28" s="28">
        <f t="shared" si="3"/>
        <v>106.8</v>
      </c>
      <c r="L28" s="17">
        <f t="shared" si="2"/>
        <v>97.53424657534246</v>
      </c>
      <c r="M28" s="28">
        <f t="shared" si="4"/>
        <v>2.700000000000003</v>
      </c>
      <c r="N28" s="45">
        <f t="shared" si="5"/>
        <v>2.700000000000003</v>
      </c>
    </row>
    <row r="29" spans="1:14" ht="24.75" customHeight="1">
      <c r="A29" s="23" t="s">
        <v>35</v>
      </c>
      <c r="B29" s="39" t="s">
        <v>111</v>
      </c>
      <c r="C29" s="219" t="s">
        <v>129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 ht="24.75" customHeight="1">
      <c r="A30" s="23" t="s">
        <v>36</v>
      </c>
      <c r="B30" s="32" t="s">
        <v>112</v>
      </c>
      <c r="C30" s="93">
        <v>0</v>
      </c>
      <c r="D30" s="26">
        <v>3.2</v>
      </c>
      <c r="E30" s="26">
        <v>3.2</v>
      </c>
      <c r="F30" s="180">
        <f>E30/D30*100</f>
        <v>100</v>
      </c>
      <c r="G30" s="26">
        <v>13.5</v>
      </c>
      <c r="H30" s="26">
        <v>7.5</v>
      </c>
      <c r="I30" s="69">
        <f t="shared" si="1"/>
        <v>55.55555555555556</v>
      </c>
      <c r="J30" s="28">
        <f aca="true" t="shared" si="7" ref="J30:K40">D30+G30</f>
        <v>16.7</v>
      </c>
      <c r="K30" s="28">
        <f t="shared" si="7"/>
        <v>10.7</v>
      </c>
      <c r="L30" s="17">
        <f t="shared" si="2"/>
        <v>64.07185628742515</v>
      </c>
      <c r="M30" s="28">
        <f t="shared" si="4"/>
        <v>6</v>
      </c>
      <c r="N30" s="45">
        <f aca="true" t="shared" si="8" ref="N30:N40">C30+J30-K30</f>
        <v>6</v>
      </c>
    </row>
    <row r="31" spans="1:14" ht="24.75" customHeight="1">
      <c r="A31" s="23" t="s">
        <v>37</v>
      </c>
      <c r="B31" s="32" t="s">
        <v>113</v>
      </c>
      <c r="C31" s="73">
        <v>-0.7</v>
      </c>
      <c r="D31" s="26">
        <v>15.2</v>
      </c>
      <c r="E31" s="26">
        <v>14.6</v>
      </c>
      <c r="F31" s="17">
        <f>E31/D31*100</f>
        <v>96.05263157894737</v>
      </c>
      <c r="G31" s="26">
        <v>20.2</v>
      </c>
      <c r="H31" s="26">
        <v>17.8</v>
      </c>
      <c r="I31" s="17">
        <f t="shared" si="1"/>
        <v>88.11881188118814</v>
      </c>
      <c r="J31" s="28">
        <f t="shared" si="7"/>
        <v>35.4</v>
      </c>
      <c r="K31" s="28">
        <f t="shared" si="7"/>
        <v>32.4</v>
      </c>
      <c r="L31" s="17">
        <f t="shared" si="2"/>
        <v>91.52542372881356</v>
      </c>
      <c r="M31" s="28">
        <f t="shared" si="4"/>
        <v>3</v>
      </c>
      <c r="N31" s="45">
        <f t="shared" si="8"/>
        <v>2.299999999999997</v>
      </c>
    </row>
    <row r="32" spans="1:14" ht="24.75" customHeight="1">
      <c r="A32" s="23" t="s">
        <v>38</v>
      </c>
      <c r="B32" s="32" t="s">
        <v>114</v>
      </c>
      <c r="C32" s="73">
        <f>-15.2+(-1.2)</f>
        <v>-16.4</v>
      </c>
      <c r="D32" s="26">
        <f>19.3+2.7</f>
        <v>22</v>
      </c>
      <c r="E32" s="26">
        <f>0.9+0</f>
        <v>0.9</v>
      </c>
      <c r="F32" s="68">
        <f>E32/D32*100</f>
        <v>4.090909090909091</v>
      </c>
      <c r="G32" s="26">
        <f>26.4+2.4</f>
        <v>28.799999999999997</v>
      </c>
      <c r="H32" s="26">
        <f>24.3+0.8</f>
        <v>25.1</v>
      </c>
      <c r="I32" s="17">
        <f t="shared" si="1"/>
        <v>87.15277777777779</v>
      </c>
      <c r="J32" s="28">
        <f t="shared" si="7"/>
        <v>50.8</v>
      </c>
      <c r="K32" s="28">
        <f t="shared" si="7"/>
        <v>26</v>
      </c>
      <c r="L32" s="17">
        <f t="shared" si="2"/>
        <v>51.181102362204726</v>
      </c>
      <c r="M32" s="28">
        <f t="shared" si="4"/>
        <v>24.799999999999997</v>
      </c>
      <c r="N32" s="45">
        <f t="shared" si="8"/>
        <v>8.399999999999999</v>
      </c>
    </row>
    <row r="33" spans="1:14" ht="24.75" customHeight="1">
      <c r="A33" s="23" t="s">
        <v>39</v>
      </c>
      <c r="B33" s="32" t="s">
        <v>115</v>
      </c>
      <c r="C33" s="78">
        <v>-5.6</v>
      </c>
      <c r="D33" s="42">
        <f>32.7+3.7</f>
        <v>36.400000000000006</v>
      </c>
      <c r="E33" s="42">
        <v>13.4</v>
      </c>
      <c r="F33" s="17">
        <f>E33/D33*100</f>
        <v>36.81318681318681</v>
      </c>
      <c r="G33" s="26">
        <f>55.4+4.3</f>
        <v>59.699999999999996</v>
      </c>
      <c r="H33" s="26">
        <f>26.4+6.5</f>
        <v>32.9</v>
      </c>
      <c r="I33" s="17">
        <f t="shared" si="1"/>
        <v>55.10887772194305</v>
      </c>
      <c r="J33" s="28">
        <f t="shared" si="7"/>
        <v>96.1</v>
      </c>
      <c r="K33" s="28">
        <f t="shared" si="7"/>
        <v>46.3</v>
      </c>
      <c r="L33" s="17">
        <f t="shared" si="2"/>
        <v>48.1789802289282</v>
      </c>
      <c r="M33" s="28">
        <f t="shared" si="4"/>
        <v>49.8</v>
      </c>
      <c r="N33" s="45">
        <f t="shared" si="8"/>
        <v>44.2</v>
      </c>
    </row>
    <row r="34" spans="1:14" ht="24.75" customHeight="1">
      <c r="A34" s="23" t="s">
        <v>40</v>
      </c>
      <c r="B34" s="24" t="s">
        <v>116</v>
      </c>
      <c r="C34" s="89">
        <v>-0.2</v>
      </c>
      <c r="D34" s="37">
        <v>10.6</v>
      </c>
      <c r="E34" s="37">
        <v>10.6</v>
      </c>
      <c r="F34" s="17">
        <f>E34/D34*100</f>
        <v>100</v>
      </c>
      <c r="G34" s="26">
        <v>13.5</v>
      </c>
      <c r="H34" s="26">
        <v>13.5</v>
      </c>
      <c r="I34" s="69">
        <f t="shared" si="1"/>
        <v>100</v>
      </c>
      <c r="J34" s="28">
        <f t="shared" si="7"/>
        <v>24.1</v>
      </c>
      <c r="K34" s="28">
        <f t="shared" si="7"/>
        <v>24.1</v>
      </c>
      <c r="L34" s="17">
        <f t="shared" si="2"/>
        <v>100</v>
      </c>
      <c r="M34" s="28">
        <f t="shared" si="4"/>
        <v>0</v>
      </c>
      <c r="N34" s="45">
        <f t="shared" si="8"/>
        <v>-0.1999999999999993</v>
      </c>
    </row>
    <row r="35" spans="1:14" ht="24.75" customHeight="1">
      <c r="A35" s="23" t="s">
        <v>41</v>
      </c>
      <c r="B35" s="32" t="s">
        <v>117</v>
      </c>
      <c r="C35" s="73">
        <f>-2.2+(-0.3)</f>
        <v>-2.5</v>
      </c>
      <c r="D35" s="26">
        <f>68.1+6.4</f>
        <v>74.5</v>
      </c>
      <c r="E35" s="26">
        <v>1.3</v>
      </c>
      <c r="F35" s="17">
        <f aca="true" t="shared" si="9" ref="F35:F42">E35/D35*100</f>
        <v>1.7449664429530203</v>
      </c>
      <c r="G35" s="26">
        <f>88.2+7.4</f>
        <v>95.60000000000001</v>
      </c>
      <c r="H35" s="26">
        <f>103.8+11.5</f>
        <v>115.3</v>
      </c>
      <c r="I35" s="17">
        <f t="shared" si="1"/>
        <v>120.60669456066944</v>
      </c>
      <c r="J35" s="28">
        <f t="shared" si="7"/>
        <v>170.10000000000002</v>
      </c>
      <c r="K35" s="28">
        <f t="shared" si="7"/>
        <v>116.6</v>
      </c>
      <c r="L35" s="17">
        <f t="shared" si="2"/>
        <v>68.54791299235742</v>
      </c>
      <c r="M35" s="28">
        <f t="shared" si="4"/>
        <v>53.50000000000003</v>
      </c>
      <c r="N35" s="45">
        <f t="shared" si="8"/>
        <v>51.00000000000003</v>
      </c>
    </row>
    <row r="36" spans="1:14" ht="24.75" customHeight="1">
      <c r="A36" s="23" t="s">
        <v>42</v>
      </c>
      <c r="B36" s="32" t="s">
        <v>118</v>
      </c>
      <c r="C36" s="73">
        <f>-0.1+0.2</f>
        <v>0.1</v>
      </c>
      <c r="D36" s="26">
        <f>116.1+1.8</f>
        <v>117.89999999999999</v>
      </c>
      <c r="E36" s="26">
        <f>31.2+3.1</f>
        <v>34.3</v>
      </c>
      <c r="F36" s="17">
        <f t="shared" si="9"/>
        <v>29.092451229855808</v>
      </c>
      <c r="G36" s="26">
        <f>124.2+1.8</f>
        <v>126</v>
      </c>
      <c r="H36" s="26">
        <f>205.7+2.3</f>
        <v>208</v>
      </c>
      <c r="I36" s="17">
        <f t="shared" si="1"/>
        <v>165.07936507936506</v>
      </c>
      <c r="J36" s="28">
        <f t="shared" si="7"/>
        <v>243.89999999999998</v>
      </c>
      <c r="K36" s="28">
        <f t="shared" si="7"/>
        <v>242.3</v>
      </c>
      <c r="L36" s="17">
        <f t="shared" si="2"/>
        <v>99.34399343993441</v>
      </c>
      <c r="M36" s="28">
        <f t="shared" si="4"/>
        <v>1.599999999999966</v>
      </c>
      <c r="N36" s="45">
        <f t="shared" si="8"/>
        <v>1.6999999999999602</v>
      </c>
    </row>
    <row r="37" spans="1:14" ht="24.75" customHeight="1">
      <c r="A37" s="23" t="s">
        <v>43</v>
      </c>
      <c r="B37" s="32" t="s">
        <v>119</v>
      </c>
      <c r="C37" s="73">
        <f>2.1+(-0.3)</f>
        <v>1.8</v>
      </c>
      <c r="D37" s="26">
        <f>167.1+2.1</f>
        <v>169.2</v>
      </c>
      <c r="E37" s="26">
        <v>0</v>
      </c>
      <c r="F37" s="17">
        <f t="shared" si="9"/>
        <v>0</v>
      </c>
      <c r="G37" s="26">
        <f>163.4+1.9</f>
        <v>165.3</v>
      </c>
      <c r="H37" s="26">
        <f>90.7+0.6</f>
        <v>91.3</v>
      </c>
      <c r="I37" s="17">
        <f t="shared" si="1"/>
        <v>55.23290986085904</v>
      </c>
      <c r="J37" s="28">
        <f t="shared" si="7"/>
        <v>334.5</v>
      </c>
      <c r="K37" s="28">
        <f t="shared" si="7"/>
        <v>91.3</v>
      </c>
      <c r="L37" s="17">
        <f t="shared" si="2"/>
        <v>27.294469357249625</v>
      </c>
      <c r="M37" s="28">
        <f t="shared" si="4"/>
        <v>243.2</v>
      </c>
      <c r="N37" s="45">
        <f t="shared" si="8"/>
        <v>245</v>
      </c>
    </row>
    <row r="38" spans="1:14" ht="24.75" customHeight="1">
      <c r="A38" s="23" t="s">
        <v>44</v>
      </c>
      <c r="B38" s="32" t="s">
        <v>127</v>
      </c>
      <c r="C38" s="73">
        <v>36.8</v>
      </c>
      <c r="D38" s="26">
        <v>33.9</v>
      </c>
      <c r="E38" s="26">
        <v>6.1</v>
      </c>
      <c r="F38" s="17">
        <f t="shared" si="9"/>
        <v>17.994100294985248</v>
      </c>
      <c r="G38" s="26">
        <v>37</v>
      </c>
      <c r="H38" s="26">
        <v>32.9</v>
      </c>
      <c r="I38" s="17">
        <f t="shared" si="1"/>
        <v>88.9189189189189</v>
      </c>
      <c r="J38" s="28">
        <f t="shared" si="7"/>
        <v>70.9</v>
      </c>
      <c r="K38" s="28">
        <f t="shared" si="7"/>
        <v>39</v>
      </c>
      <c r="L38" s="17">
        <f t="shared" si="2"/>
        <v>55.00705218617771</v>
      </c>
      <c r="M38" s="28">
        <f t="shared" si="4"/>
        <v>31.900000000000006</v>
      </c>
      <c r="N38" s="45">
        <f t="shared" si="8"/>
        <v>68.7</v>
      </c>
    </row>
    <row r="39" spans="1:14" ht="24.75" customHeight="1">
      <c r="A39" s="23" t="s">
        <v>45</v>
      </c>
      <c r="B39" s="24" t="s">
        <v>128</v>
      </c>
      <c r="C39" s="89">
        <v>-8.5</v>
      </c>
      <c r="D39" s="26">
        <v>64.3</v>
      </c>
      <c r="E39" s="26">
        <v>21.8</v>
      </c>
      <c r="F39" s="17">
        <f t="shared" si="9"/>
        <v>33.903576982892695</v>
      </c>
      <c r="G39" s="26">
        <v>78.3</v>
      </c>
      <c r="H39" s="26">
        <v>90.1</v>
      </c>
      <c r="I39" s="69">
        <f t="shared" si="1"/>
        <v>115.07024265644954</v>
      </c>
      <c r="J39" s="28">
        <f t="shared" si="7"/>
        <v>142.6</v>
      </c>
      <c r="K39" s="28">
        <f t="shared" si="7"/>
        <v>111.89999999999999</v>
      </c>
      <c r="L39" s="17">
        <f t="shared" si="2"/>
        <v>78.47124824684431</v>
      </c>
      <c r="M39" s="28">
        <f t="shared" si="4"/>
        <v>30.700000000000003</v>
      </c>
      <c r="N39" s="45">
        <f t="shared" si="8"/>
        <v>22.200000000000003</v>
      </c>
    </row>
    <row r="40" spans="1:14" ht="24.75" customHeight="1">
      <c r="A40" s="23" t="s">
        <v>46</v>
      </c>
      <c r="B40" s="32" t="s">
        <v>120</v>
      </c>
      <c r="C40" s="73">
        <f>0.7+(-1.7)</f>
        <v>-1</v>
      </c>
      <c r="D40" s="26">
        <f>22+25.9</f>
        <v>47.9</v>
      </c>
      <c r="E40" s="26">
        <f>1.3+0.5</f>
        <v>1.8</v>
      </c>
      <c r="F40" s="17">
        <f t="shared" si="9"/>
        <v>3.7578288100208774</v>
      </c>
      <c r="G40" s="26">
        <f>27.1+28.4</f>
        <v>55.5</v>
      </c>
      <c r="H40" s="26">
        <f>22+26.5</f>
        <v>48.5</v>
      </c>
      <c r="I40" s="69">
        <f t="shared" si="1"/>
        <v>87.38738738738738</v>
      </c>
      <c r="J40" s="28">
        <f t="shared" si="7"/>
        <v>103.4</v>
      </c>
      <c r="K40" s="28">
        <f t="shared" si="7"/>
        <v>50.3</v>
      </c>
      <c r="L40" s="17">
        <f t="shared" si="2"/>
        <v>48.64603481624757</v>
      </c>
      <c r="M40" s="28">
        <f t="shared" si="4"/>
        <v>53.10000000000001</v>
      </c>
      <c r="N40" s="45">
        <f t="shared" si="8"/>
        <v>52.10000000000001</v>
      </c>
    </row>
    <row r="41" spans="1:14" s="22" customFormat="1" ht="24.75" customHeight="1">
      <c r="A41" s="23" t="s">
        <v>47</v>
      </c>
      <c r="B41" s="43" t="s">
        <v>121</v>
      </c>
      <c r="C41" s="79">
        <f>SUM(C42:C42)</f>
        <v>-295.1</v>
      </c>
      <c r="D41" s="45">
        <f>SUM(D42:D42)</f>
        <v>1855.6999999999998</v>
      </c>
      <c r="E41" s="45">
        <f>SUM(E42:E42)</f>
        <v>280.79999999999995</v>
      </c>
      <c r="F41" s="17">
        <f t="shared" si="9"/>
        <v>15.131756210594382</v>
      </c>
      <c r="G41" s="45">
        <f>SUM(G42:G42)</f>
        <v>1927</v>
      </c>
      <c r="H41" s="45">
        <f>SUM(H42:H42)</f>
        <v>1689.8</v>
      </c>
      <c r="I41" s="17">
        <f t="shared" si="1"/>
        <v>87.69071094966269</v>
      </c>
      <c r="J41" s="45">
        <f>SUM(J42:J42)</f>
        <v>3782.7</v>
      </c>
      <c r="K41" s="45">
        <f>SUM(K42:K42)</f>
        <v>1970.6</v>
      </c>
      <c r="L41" s="17">
        <f t="shared" si="2"/>
        <v>52.09506437200942</v>
      </c>
      <c r="M41" s="45">
        <f>SUM(M42:M42)</f>
        <v>1812.1</v>
      </c>
      <c r="N41" s="45">
        <f>SUM(N42:N42)</f>
        <v>1517</v>
      </c>
    </row>
    <row r="42" spans="1:14" s="22" customFormat="1" ht="24.75" customHeight="1">
      <c r="A42" s="14"/>
      <c r="B42" s="24" t="s">
        <v>122</v>
      </c>
      <c r="C42" s="73">
        <f>-50+(-245.1)</f>
        <v>-295.1</v>
      </c>
      <c r="D42" s="26">
        <f>743.4+1112.3</f>
        <v>1855.6999999999998</v>
      </c>
      <c r="E42" s="26">
        <f>100.6+180.2</f>
        <v>280.79999999999995</v>
      </c>
      <c r="F42" s="17">
        <f t="shared" si="9"/>
        <v>15.131756210594382</v>
      </c>
      <c r="G42" s="26">
        <f>739+1188</f>
        <v>1927</v>
      </c>
      <c r="H42" s="26">
        <f>788.8+901</f>
        <v>1689.8</v>
      </c>
      <c r="I42" s="17">
        <f t="shared" si="1"/>
        <v>87.69071094966269</v>
      </c>
      <c r="J42" s="28">
        <f>D42+G42</f>
        <v>3782.7</v>
      </c>
      <c r="K42" s="28">
        <f>E42+H42</f>
        <v>1970.6</v>
      </c>
      <c r="L42" s="17">
        <f t="shared" si="2"/>
        <v>52.09506437200942</v>
      </c>
      <c r="M42" s="28">
        <f t="shared" si="4"/>
        <v>1812.1</v>
      </c>
      <c r="N42" s="45">
        <f>C42+J42-K42</f>
        <v>1517</v>
      </c>
    </row>
    <row r="43" spans="1:14" ht="30" customHeight="1">
      <c r="A43" s="23"/>
      <c r="B43" s="43" t="s">
        <v>123</v>
      </c>
      <c r="C43" s="79">
        <f>C41+C7</f>
        <v>-374.50000000000006</v>
      </c>
      <c r="D43" s="45">
        <f>D41+D7</f>
        <v>3337.0000000000005</v>
      </c>
      <c r="E43" s="45">
        <f>E41+E7</f>
        <v>729.9000000000001</v>
      </c>
      <c r="F43" s="17">
        <f>E43/D43*100</f>
        <v>21.872939766257115</v>
      </c>
      <c r="G43" s="45">
        <f>G7+G41</f>
        <v>3376.7</v>
      </c>
      <c r="H43" s="45">
        <f>H7+H41</f>
        <v>3367.1</v>
      </c>
      <c r="I43" s="17">
        <f t="shared" si="1"/>
        <v>99.71569875914355</v>
      </c>
      <c r="J43" s="79">
        <f>J7+J41</f>
        <v>6713.7</v>
      </c>
      <c r="K43" s="79">
        <f>K7+K41</f>
        <v>4097</v>
      </c>
      <c r="L43" s="17">
        <f>K43/J43*100</f>
        <v>61.02447234758777</v>
      </c>
      <c r="M43" s="45">
        <f>M7+M41</f>
        <v>2616.7</v>
      </c>
      <c r="N43" s="45">
        <f>N7+N41</f>
        <v>2242.2</v>
      </c>
    </row>
    <row r="44" spans="1:26" ht="27.75" customHeight="1">
      <c r="A44" s="48"/>
      <c r="B44" s="49"/>
      <c r="C44" s="50"/>
      <c r="D44" s="46"/>
      <c r="E44" s="46"/>
      <c r="F44" s="188"/>
      <c r="G44" s="46"/>
      <c r="H44" s="46"/>
      <c r="I44" s="20"/>
      <c r="J44" s="52"/>
      <c r="K44" s="52"/>
      <c r="L44" s="20"/>
      <c r="M44" s="20"/>
      <c r="N44" s="46"/>
      <c r="O44" s="46"/>
      <c r="P44" s="46"/>
      <c r="Q44" s="46"/>
      <c r="R44" s="46"/>
      <c r="S44" s="46"/>
      <c r="T44" s="46"/>
      <c r="U44" s="46"/>
      <c r="V44" s="46"/>
      <c r="W44" s="13"/>
      <c r="X44" s="13"/>
      <c r="Y44" s="13"/>
      <c r="Z44" s="13"/>
    </row>
    <row r="45" spans="1:26" s="22" customFormat="1" ht="19.5" customHeight="1" hidden="1">
      <c r="A45" s="51"/>
      <c r="B45" s="22" t="s">
        <v>124</v>
      </c>
      <c r="C45" s="52"/>
      <c r="D45" s="19"/>
      <c r="E45" s="19"/>
      <c r="F45" s="188"/>
      <c r="G45" s="2"/>
      <c r="H45" s="2"/>
      <c r="I45" s="185"/>
      <c r="J45" s="2"/>
      <c r="K45" s="2"/>
      <c r="L45" s="185"/>
      <c r="M45" s="223" t="s">
        <v>139</v>
      </c>
      <c r="N45" s="224"/>
      <c r="O45" s="53"/>
      <c r="P45" s="53"/>
      <c r="Q45" s="53"/>
      <c r="R45" s="53"/>
      <c r="S45" s="53"/>
      <c r="T45" s="19"/>
      <c r="U45" s="54"/>
      <c r="V45" s="54"/>
      <c r="W45" s="55"/>
      <c r="X45" s="54"/>
      <c r="Z45" s="54"/>
    </row>
    <row r="46" spans="1:26" s="22" customFormat="1" ht="7.5" customHeight="1" hidden="1">
      <c r="A46" s="21"/>
      <c r="C46" s="52"/>
      <c r="D46" s="19"/>
      <c r="E46" s="19"/>
      <c r="F46" s="53"/>
      <c r="G46" s="60"/>
      <c r="H46" s="60"/>
      <c r="I46" s="61"/>
      <c r="J46" s="60"/>
      <c r="K46" s="60"/>
      <c r="L46" s="61"/>
      <c r="M46" s="6"/>
      <c r="N46" s="62" t="s">
        <v>137</v>
      </c>
      <c r="O46" s="53"/>
      <c r="P46" s="53"/>
      <c r="Q46" s="53"/>
      <c r="R46" s="53"/>
      <c r="S46" s="53"/>
      <c r="T46" s="19"/>
      <c r="U46" s="54"/>
      <c r="V46" s="54"/>
      <c r="W46" s="55"/>
      <c r="X46" s="54"/>
      <c r="Z46" s="54"/>
    </row>
    <row r="47" spans="1:26" s="22" customFormat="1" ht="19.5" customHeight="1" hidden="1">
      <c r="A47" s="51"/>
      <c r="B47" s="22" t="s">
        <v>125</v>
      </c>
      <c r="C47" s="52"/>
      <c r="D47" s="19"/>
      <c r="E47" s="19"/>
      <c r="F47" s="53"/>
      <c r="G47" s="6"/>
      <c r="I47" s="22" t="s">
        <v>54</v>
      </c>
      <c r="N47" s="6"/>
      <c r="O47" s="53"/>
      <c r="P47" s="53"/>
      <c r="Q47" s="53"/>
      <c r="R47" s="53"/>
      <c r="S47" s="53"/>
      <c r="T47" s="19"/>
      <c r="U47" s="54"/>
      <c r="V47" s="54"/>
      <c r="W47" s="55"/>
      <c r="X47" s="54"/>
      <c r="Z47" s="54"/>
    </row>
    <row r="48" spans="1:26" ht="24.75" customHeight="1">
      <c r="A48" s="6"/>
      <c r="C48" s="56"/>
      <c r="D48" s="57"/>
      <c r="E48" s="57"/>
      <c r="F48" s="53"/>
      <c r="O48" s="57"/>
      <c r="P48" s="57"/>
      <c r="Q48" s="57"/>
      <c r="R48" s="57"/>
      <c r="S48" s="57"/>
      <c r="T48" s="57"/>
      <c r="U48" s="8"/>
      <c r="V48" s="8"/>
      <c r="W48" s="58"/>
      <c r="X48" s="8"/>
      <c r="Z48" s="8"/>
    </row>
    <row r="49" spans="1:14" s="3" customFormat="1" ht="63.75" customHeight="1">
      <c r="A49" s="1"/>
      <c r="B49" s="213" t="s">
        <v>140</v>
      </c>
      <c r="C49" s="213"/>
      <c r="D49" s="213"/>
      <c r="E49" s="213"/>
      <c r="F49" s="213"/>
      <c r="G49" s="6"/>
      <c r="H49" s="6"/>
      <c r="I49" s="22"/>
      <c r="J49" s="6"/>
      <c r="K49" s="6"/>
      <c r="L49" s="22"/>
      <c r="M49" s="6"/>
      <c r="N49" s="6"/>
    </row>
    <row r="50" spans="1:14" ht="73.5" customHeight="1" hidden="1">
      <c r="A50" s="214" t="s">
        <v>136</v>
      </c>
      <c r="B50" s="214"/>
      <c r="C50" s="59"/>
      <c r="D50" s="59"/>
      <c r="E50" s="59"/>
      <c r="F50" s="59"/>
      <c r="G50" s="57"/>
      <c r="H50" s="57"/>
      <c r="I50" s="184"/>
      <c r="J50" s="57"/>
      <c r="K50" s="57"/>
      <c r="L50" s="184"/>
      <c r="M50" s="57"/>
      <c r="N50" s="57"/>
    </row>
    <row r="51" spans="2:14" ht="18.75">
      <c r="B51" s="96"/>
      <c r="G51" s="57"/>
      <c r="H51" s="57"/>
      <c r="I51" s="184"/>
      <c r="J51" s="57"/>
      <c r="K51" s="57"/>
      <c r="L51" s="184"/>
      <c r="M51" s="57"/>
      <c r="N51" s="57"/>
    </row>
    <row r="52" spans="7:14" ht="18.75">
      <c r="G52" s="57"/>
      <c r="H52" s="57"/>
      <c r="I52" s="184"/>
      <c r="J52" s="57"/>
      <c r="K52" s="57"/>
      <c r="L52" s="184"/>
      <c r="M52" s="57"/>
      <c r="N52" s="57"/>
    </row>
    <row r="53" spans="2:14" ht="18.75">
      <c r="B53" s="96"/>
      <c r="G53" s="57"/>
      <c r="H53" s="57"/>
      <c r="I53" s="184"/>
      <c r="J53" s="57"/>
      <c r="K53" s="57"/>
      <c r="L53" s="184"/>
      <c r="M53" s="57"/>
      <c r="N53" s="57"/>
    </row>
    <row r="54" spans="2:14" ht="18.75">
      <c r="B54" s="96"/>
      <c r="G54" s="57"/>
      <c r="H54" s="57"/>
      <c r="I54" s="184"/>
      <c r="J54" s="57"/>
      <c r="K54" s="57"/>
      <c r="L54" s="184"/>
      <c r="M54" s="57"/>
      <c r="N54" s="57"/>
    </row>
    <row r="55" spans="2:14" ht="18.75">
      <c r="B55" s="96"/>
      <c r="G55" s="57"/>
      <c r="H55" s="57"/>
      <c r="I55" s="184"/>
      <c r="J55" s="57"/>
      <c r="K55" s="57"/>
      <c r="L55" s="184"/>
      <c r="M55" s="57"/>
      <c r="N55" s="57"/>
    </row>
    <row r="56" spans="7:14" ht="18.75">
      <c r="G56" s="57"/>
      <c r="H56" s="57"/>
      <c r="I56" s="184"/>
      <c r="J56" s="57"/>
      <c r="K56" s="57"/>
      <c r="L56" s="184"/>
      <c r="M56" s="57"/>
      <c r="N56" s="57"/>
    </row>
    <row r="57" spans="7:14" ht="18.75">
      <c r="G57" s="57"/>
      <c r="H57" s="57"/>
      <c r="I57" s="184"/>
      <c r="J57" s="57"/>
      <c r="K57" s="57"/>
      <c r="L57" s="184"/>
      <c r="M57" s="57"/>
      <c r="N57" s="57"/>
    </row>
    <row r="58" spans="7:14" ht="18.75">
      <c r="G58" s="57"/>
      <c r="H58" s="57"/>
      <c r="I58" s="184"/>
      <c r="J58" s="57"/>
      <c r="K58" s="57"/>
      <c r="L58" s="184"/>
      <c r="M58" s="57"/>
      <c r="N58" s="57"/>
    </row>
    <row r="59" spans="7:14" ht="18.75">
      <c r="G59" s="57"/>
      <c r="H59" s="57"/>
      <c r="I59" s="184"/>
      <c r="J59" s="57"/>
      <c r="K59" s="57"/>
      <c r="L59" s="184"/>
      <c r="M59" s="57"/>
      <c r="N59" s="57"/>
    </row>
    <row r="60" spans="7:14" ht="18.75">
      <c r="G60" s="57"/>
      <c r="H60" s="57"/>
      <c r="I60" s="184"/>
      <c r="J60" s="57"/>
      <c r="K60" s="57"/>
      <c r="L60" s="184"/>
      <c r="M60" s="57"/>
      <c r="N60" s="57"/>
    </row>
    <row r="61" spans="7:14" ht="18.75">
      <c r="G61" s="57"/>
      <c r="H61" s="57"/>
      <c r="I61" s="184"/>
      <c r="J61" s="57"/>
      <c r="K61" s="57"/>
      <c r="L61" s="184"/>
      <c r="M61" s="57"/>
      <c r="N61" s="57"/>
    </row>
    <row r="62" spans="7:14" ht="18.75">
      <c r="G62" s="57"/>
      <c r="H62" s="57"/>
      <c r="I62" s="184"/>
      <c r="J62" s="57"/>
      <c r="K62" s="57"/>
      <c r="L62" s="184"/>
      <c r="M62" s="57"/>
      <c r="N62" s="57"/>
    </row>
    <row r="63" spans="7:14" ht="18.75">
      <c r="G63" s="57"/>
      <c r="H63" s="57"/>
      <c r="I63" s="184"/>
      <c r="J63" s="57"/>
      <c r="K63" s="57"/>
      <c r="L63" s="184"/>
      <c r="M63" s="57"/>
      <c r="N63" s="57"/>
    </row>
    <row r="64" spans="7:14" ht="18.75">
      <c r="G64" s="57"/>
      <c r="H64" s="57"/>
      <c r="I64" s="184"/>
      <c r="J64" s="57"/>
      <c r="K64" s="57"/>
      <c r="L64" s="184"/>
      <c r="M64" s="57"/>
      <c r="N64" s="57"/>
    </row>
    <row r="65" spans="7:14" ht="18.75">
      <c r="G65" s="57"/>
      <c r="H65" s="57"/>
      <c r="I65" s="184"/>
      <c r="J65" s="57"/>
      <c r="K65" s="57"/>
      <c r="L65" s="184"/>
      <c r="M65" s="57"/>
      <c r="N65" s="57"/>
    </row>
    <row r="66" spans="7:14" ht="18.75">
      <c r="G66" s="57"/>
      <c r="H66" s="57"/>
      <c r="I66" s="184"/>
      <c r="J66" s="57"/>
      <c r="K66" s="57"/>
      <c r="L66" s="184"/>
      <c r="M66" s="57"/>
      <c r="N66" s="57"/>
    </row>
    <row r="67" spans="7:14" ht="18.75">
      <c r="G67" s="57"/>
      <c r="H67" s="57"/>
      <c r="I67" s="184"/>
      <c r="J67" s="57"/>
      <c r="K67" s="57"/>
      <c r="L67" s="184"/>
      <c r="M67" s="57"/>
      <c r="N67" s="57"/>
    </row>
    <row r="68" spans="7:14" ht="18.75">
      <c r="G68" s="57"/>
      <c r="H68" s="57"/>
      <c r="I68" s="184"/>
      <c r="J68" s="57"/>
      <c r="K68" s="57"/>
      <c r="L68" s="184"/>
      <c r="M68" s="57"/>
      <c r="N68" s="57"/>
    </row>
    <row r="69" spans="7:14" ht="18.75">
      <c r="G69" s="57"/>
      <c r="H69" s="57"/>
      <c r="I69" s="184"/>
      <c r="J69" s="57"/>
      <c r="K69" s="57"/>
      <c r="L69" s="184"/>
      <c r="M69" s="57"/>
      <c r="N69" s="57"/>
    </row>
    <row r="70" spans="7:14" ht="18.75">
      <c r="G70" s="57"/>
      <c r="H70" s="57"/>
      <c r="I70" s="184"/>
      <c r="J70" s="57"/>
      <c r="K70" s="57"/>
      <c r="L70" s="184"/>
      <c r="M70" s="57"/>
      <c r="N70" s="57"/>
    </row>
    <row r="71" spans="7:14" ht="18.75">
      <c r="G71" s="57"/>
      <c r="H71" s="57"/>
      <c r="I71" s="184"/>
      <c r="J71" s="57"/>
      <c r="K71" s="57"/>
      <c r="L71" s="184"/>
      <c r="M71" s="57"/>
      <c r="N71" s="57"/>
    </row>
    <row r="72" spans="7:14" ht="18.75">
      <c r="G72" s="57"/>
      <c r="H72" s="57"/>
      <c r="I72" s="184"/>
      <c r="J72" s="57"/>
      <c r="K72" s="57"/>
      <c r="L72" s="184"/>
      <c r="M72" s="57"/>
      <c r="N72" s="57"/>
    </row>
    <row r="73" spans="7:14" ht="18.75">
      <c r="G73" s="57"/>
      <c r="H73" s="57"/>
      <c r="I73" s="184"/>
      <c r="J73" s="57"/>
      <c r="K73" s="57"/>
      <c r="L73" s="184"/>
      <c r="M73" s="57"/>
      <c r="N73" s="57"/>
    </row>
    <row r="74" spans="7:14" ht="18.75">
      <c r="G74" s="57"/>
      <c r="H74" s="57"/>
      <c r="I74" s="184"/>
      <c r="J74" s="57"/>
      <c r="K74" s="57"/>
      <c r="L74" s="184"/>
      <c r="M74" s="57"/>
      <c r="N74" s="57"/>
    </row>
    <row r="75" spans="7:14" ht="18.75">
      <c r="G75" s="57"/>
      <c r="H75" s="57"/>
      <c r="I75" s="184"/>
      <c r="J75" s="57"/>
      <c r="K75" s="57"/>
      <c r="L75" s="184"/>
      <c r="M75" s="57"/>
      <c r="N75" s="57"/>
    </row>
    <row r="76" spans="7:14" ht="18.75">
      <c r="G76" s="57"/>
      <c r="H76" s="57"/>
      <c r="I76" s="184"/>
      <c r="J76" s="57"/>
      <c r="K76" s="57"/>
      <c r="L76" s="184"/>
      <c r="M76" s="57"/>
      <c r="N76" s="57"/>
    </row>
    <row r="77" spans="7:14" ht="18.75">
      <c r="G77" s="57"/>
      <c r="H77" s="57"/>
      <c r="I77" s="184"/>
      <c r="J77" s="57"/>
      <c r="K77" s="57"/>
      <c r="L77" s="184"/>
      <c r="M77" s="57"/>
      <c r="N77" s="57"/>
    </row>
    <row r="78" spans="7:14" ht="18.75">
      <c r="G78" s="57"/>
      <c r="H78" s="57"/>
      <c r="I78" s="184"/>
      <c r="J78" s="57"/>
      <c r="K78" s="57"/>
      <c r="L78" s="184"/>
      <c r="M78" s="57"/>
      <c r="N78" s="57"/>
    </row>
    <row r="79" spans="7:14" ht="18.75">
      <c r="G79" s="57"/>
      <c r="H79" s="57"/>
      <c r="I79" s="184"/>
      <c r="J79" s="57"/>
      <c r="K79" s="57"/>
      <c r="L79" s="184"/>
      <c r="M79" s="57"/>
      <c r="N79" s="57"/>
    </row>
    <row r="80" spans="7:14" ht="18.75">
      <c r="G80" s="57"/>
      <c r="H80" s="57"/>
      <c r="I80" s="184"/>
      <c r="J80" s="57"/>
      <c r="K80" s="57"/>
      <c r="L80" s="184"/>
      <c r="M80" s="57"/>
      <c r="N80" s="57"/>
    </row>
    <row r="81" spans="7:14" ht="18.75">
      <c r="G81" s="57"/>
      <c r="H81" s="57"/>
      <c r="I81" s="184"/>
      <c r="J81" s="57"/>
      <c r="K81" s="57"/>
      <c r="L81" s="184"/>
      <c r="M81" s="57"/>
      <c r="N81" s="57"/>
    </row>
    <row r="82" spans="7:14" ht="18.75">
      <c r="G82" s="57"/>
      <c r="H82" s="57"/>
      <c r="I82" s="184"/>
      <c r="J82" s="57"/>
      <c r="K82" s="57"/>
      <c r="L82" s="184"/>
      <c r="M82" s="57"/>
      <c r="N82" s="57"/>
    </row>
    <row r="83" spans="7:14" ht="18.75">
      <c r="G83" s="57"/>
      <c r="H83" s="57"/>
      <c r="I83" s="184"/>
      <c r="J83" s="57"/>
      <c r="K83" s="57"/>
      <c r="L83" s="184"/>
      <c r="M83" s="57"/>
      <c r="N83" s="57"/>
    </row>
    <row r="84" spans="7:14" ht="18.75">
      <c r="G84" s="57"/>
      <c r="H84" s="57"/>
      <c r="I84" s="184"/>
      <c r="J84" s="57"/>
      <c r="K84" s="57"/>
      <c r="L84" s="184"/>
      <c r="M84" s="57"/>
      <c r="N84" s="57"/>
    </row>
    <row r="85" spans="7:14" ht="18.75">
      <c r="G85" s="57"/>
      <c r="H85" s="57"/>
      <c r="I85" s="184"/>
      <c r="J85" s="57"/>
      <c r="K85" s="57"/>
      <c r="L85" s="184"/>
      <c r="M85" s="57"/>
      <c r="N85" s="57"/>
    </row>
    <row r="86" spans="7:14" ht="18.75">
      <c r="G86" s="57"/>
      <c r="H86" s="57"/>
      <c r="I86" s="184"/>
      <c r="J86" s="57"/>
      <c r="K86" s="57"/>
      <c r="L86" s="184"/>
      <c r="M86" s="57"/>
      <c r="N86" s="57"/>
    </row>
    <row r="87" spans="7:14" ht="18.75">
      <c r="G87" s="57"/>
      <c r="H87" s="57"/>
      <c r="I87" s="184"/>
      <c r="J87" s="57"/>
      <c r="K87" s="57"/>
      <c r="L87" s="184"/>
      <c r="M87" s="57"/>
      <c r="N87" s="57"/>
    </row>
    <row r="88" spans="7:14" ht="18.75">
      <c r="G88" s="57"/>
      <c r="H88" s="57"/>
      <c r="I88" s="184"/>
      <c r="J88" s="57"/>
      <c r="K88" s="57"/>
      <c r="L88" s="184"/>
      <c r="M88" s="57"/>
      <c r="N88" s="57"/>
    </row>
    <row r="89" spans="7:14" ht="18.75">
      <c r="G89" s="57"/>
      <c r="H89" s="57"/>
      <c r="I89" s="184"/>
      <c r="J89" s="57"/>
      <c r="K89" s="57"/>
      <c r="L89" s="184"/>
      <c r="M89" s="57"/>
      <c r="N89" s="57"/>
    </row>
    <row r="90" spans="7:14" ht="18.75">
      <c r="G90" s="57"/>
      <c r="H90" s="57"/>
      <c r="I90" s="184"/>
      <c r="J90" s="57"/>
      <c r="K90" s="57"/>
      <c r="L90" s="184"/>
      <c r="M90" s="57"/>
      <c r="N90" s="57"/>
    </row>
    <row r="91" spans="7:14" ht="18.75">
      <c r="G91" s="57"/>
      <c r="H91" s="57"/>
      <c r="I91" s="184"/>
      <c r="J91" s="57"/>
      <c r="K91" s="57"/>
      <c r="L91" s="184"/>
      <c r="M91" s="57"/>
      <c r="N91" s="57"/>
    </row>
    <row r="92" spans="7:14" ht="18.75">
      <c r="G92" s="57"/>
      <c r="H92" s="57"/>
      <c r="I92" s="184"/>
      <c r="J92" s="57"/>
      <c r="K92" s="57"/>
      <c r="L92" s="184"/>
      <c r="M92" s="57"/>
      <c r="N92" s="57"/>
    </row>
    <row r="93" spans="7:14" ht="18.75">
      <c r="G93" s="57"/>
      <c r="H93" s="57"/>
      <c r="I93" s="184"/>
      <c r="J93" s="57"/>
      <c r="K93" s="57"/>
      <c r="L93" s="184"/>
      <c r="M93" s="57"/>
      <c r="N93" s="57"/>
    </row>
    <row r="94" spans="7:14" ht="18.75">
      <c r="G94" s="57"/>
      <c r="H94" s="57"/>
      <c r="I94" s="184"/>
      <c r="J94" s="57"/>
      <c r="K94" s="57"/>
      <c r="L94" s="184"/>
      <c r="M94" s="57"/>
      <c r="N94" s="57"/>
    </row>
    <row r="95" spans="7:14" ht="18.75">
      <c r="G95" s="57"/>
      <c r="H95" s="57"/>
      <c r="I95" s="184"/>
      <c r="J95" s="57"/>
      <c r="K95" s="57"/>
      <c r="L95" s="184"/>
      <c r="M95" s="57"/>
      <c r="N95" s="57"/>
    </row>
  </sheetData>
  <sheetProtection/>
  <mergeCells count="13">
    <mergeCell ref="M45:N45"/>
    <mergeCell ref="A50:B50"/>
    <mergeCell ref="C29:N29"/>
    <mergeCell ref="B49:F49"/>
    <mergeCell ref="D5:F5"/>
    <mergeCell ref="G5:I5"/>
    <mergeCell ref="I1:N1"/>
    <mergeCell ref="B2:N2"/>
    <mergeCell ref="B3:N3"/>
    <mergeCell ref="B4:F4"/>
    <mergeCell ref="J5:L5"/>
    <mergeCell ref="M5:M6"/>
    <mergeCell ref="N5:N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95"/>
  <sheetViews>
    <sheetView view="pageBreakPreview" zoomScale="76" zoomScaleNormal="50" zoomScaleSheetLayoutView="76" zoomScalePageLayoutView="0" workbookViewId="0" topLeftCell="A1">
      <pane xSplit="6" ySplit="8" topLeftCell="G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42" sqref="L42"/>
    </sheetView>
  </sheetViews>
  <sheetFormatPr defaultColWidth="6.75390625" defaultRowHeight="12.75"/>
  <cols>
    <col min="1" max="1" width="5.125" style="5" customWidth="1"/>
    <col min="2" max="2" width="49.875" style="6" customWidth="1"/>
    <col min="3" max="3" width="17.375" style="84" customWidth="1"/>
    <col min="4" max="5" width="21.125" style="6" customWidth="1"/>
    <col min="6" max="6" width="13.75390625" style="22" customWidth="1"/>
    <col min="7" max="7" width="14.75390625" style="6" customWidth="1"/>
    <col min="8" max="8" width="16.00390625" style="6" customWidth="1"/>
    <col min="9" max="9" width="11.125" style="22" customWidth="1"/>
    <col min="10" max="11" width="14.75390625" style="6" customWidth="1"/>
    <col min="12" max="12" width="11.125" style="22" customWidth="1"/>
    <col min="13" max="13" width="16.75390625" style="6" hidden="1" customWidth="1"/>
    <col min="14" max="14" width="18.25390625" style="6" customWidth="1"/>
    <col min="15" max="15" width="14.875" style="6" customWidth="1"/>
    <col min="16" max="16" width="11.625" style="6" customWidth="1"/>
    <col min="17" max="16384" width="6.75390625" style="6" customWidth="1"/>
  </cols>
  <sheetData>
    <row r="1" spans="9:14" ht="14.25" customHeight="1">
      <c r="I1" s="216" t="s">
        <v>51</v>
      </c>
      <c r="J1" s="216"/>
      <c r="K1" s="216"/>
      <c r="L1" s="216"/>
      <c r="M1" s="216"/>
      <c r="N1" s="216"/>
    </row>
    <row r="2" spans="1:14" ht="18.75">
      <c r="A2" s="218" t="s">
        <v>133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22" ht="26.25" customHeight="1">
      <c r="A3" s="229" t="s">
        <v>144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97"/>
      <c r="P3" s="97"/>
      <c r="Q3" s="97"/>
      <c r="R3" s="97"/>
      <c r="S3" s="97"/>
      <c r="T3" s="97"/>
      <c r="U3" s="97"/>
      <c r="V3" s="97"/>
    </row>
    <row r="4" spans="2:14" ht="18.75">
      <c r="B4" s="217"/>
      <c r="C4" s="217"/>
      <c r="D4" s="217"/>
      <c r="E4" s="217"/>
      <c r="F4" s="217"/>
      <c r="N4" s="151" t="s">
        <v>7</v>
      </c>
    </row>
    <row r="5" spans="1:14" ht="58.5" customHeight="1">
      <c r="A5" s="64" t="s">
        <v>56</v>
      </c>
      <c r="B5" s="10"/>
      <c r="C5" s="159" t="s">
        <v>1</v>
      </c>
      <c r="D5" s="190" t="s">
        <v>146</v>
      </c>
      <c r="E5" s="191"/>
      <c r="F5" s="192"/>
      <c r="G5" s="210" t="s">
        <v>147</v>
      </c>
      <c r="H5" s="211"/>
      <c r="I5" s="212"/>
      <c r="J5" s="190" t="s">
        <v>148</v>
      </c>
      <c r="K5" s="191"/>
      <c r="L5" s="192"/>
      <c r="M5" s="193" t="s">
        <v>149</v>
      </c>
      <c r="N5" s="193" t="s">
        <v>145</v>
      </c>
    </row>
    <row r="6" spans="1:14" ht="30" customHeight="1">
      <c r="A6" s="65" t="s">
        <v>57</v>
      </c>
      <c r="B6" s="12" t="s">
        <v>89</v>
      </c>
      <c r="C6" s="160" t="s">
        <v>143</v>
      </c>
      <c r="D6" s="11" t="s">
        <v>150</v>
      </c>
      <c r="E6" s="11" t="s">
        <v>91</v>
      </c>
      <c r="F6" s="66" t="s">
        <v>0</v>
      </c>
      <c r="G6" s="11" t="s">
        <v>150</v>
      </c>
      <c r="H6" s="11" t="s">
        <v>91</v>
      </c>
      <c r="I6" s="66" t="s">
        <v>0</v>
      </c>
      <c r="J6" s="11" t="s">
        <v>150</v>
      </c>
      <c r="K6" s="11" t="s">
        <v>91</v>
      </c>
      <c r="L6" s="66" t="s">
        <v>0</v>
      </c>
      <c r="M6" s="194"/>
      <c r="N6" s="194"/>
    </row>
    <row r="7" spans="1:16" s="22" customFormat="1" ht="36" customHeight="1">
      <c r="A7" s="14"/>
      <c r="B7" s="15" t="s">
        <v>90</v>
      </c>
      <c r="C7" s="17">
        <f>SUM(C8:C40)</f>
        <v>48.79999999999999</v>
      </c>
      <c r="D7" s="17">
        <f>SUM(D8:D40)</f>
        <v>136.1</v>
      </c>
      <c r="E7" s="17">
        <f>SUM(E8:E40)</f>
        <v>77.09999999999998</v>
      </c>
      <c r="F7" s="17">
        <f>E7/D7*100</f>
        <v>56.649522409992635</v>
      </c>
      <c r="G7" s="17">
        <f>SUM(G8:G40)</f>
        <v>206.9</v>
      </c>
      <c r="H7" s="17">
        <f>SUM(H8:H40)</f>
        <v>161.6</v>
      </c>
      <c r="I7" s="17">
        <f>H7/G7*100</f>
        <v>78.10536491058483</v>
      </c>
      <c r="J7" s="68">
        <f>SUM(J8:J40)</f>
        <v>343</v>
      </c>
      <c r="K7" s="68">
        <f>SUM(K8:K40)</f>
        <v>238.70000000000002</v>
      </c>
      <c r="L7" s="17">
        <f>K7/J7*100</f>
        <v>69.59183673469389</v>
      </c>
      <c r="M7" s="68">
        <f>SUM(M8:M40)</f>
        <v>104.29999999999997</v>
      </c>
      <c r="N7" s="68">
        <f>SUM(N8:N40)</f>
        <v>153.1</v>
      </c>
      <c r="O7" s="19">
        <f>SUM(M8:M40)</f>
        <v>104.29999999999997</v>
      </c>
      <c r="P7" s="19">
        <f>SUM(N8:N40)</f>
        <v>153.1</v>
      </c>
    </row>
    <row r="8" spans="1:14" ht="24.75" customHeight="1">
      <c r="A8" s="23" t="s">
        <v>14</v>
      </c>
      <c r="B8" s="24" t="s">
        <v>92</v>
      </c>
      <c r="C8" s="85">
        <v>0</v>
      </c>
      <c r="D8" s="26">
        <v>7.5</v>
      </c>
      <c r="E8" s="26">
        <v>0.5</v>
      </c>
      <c r="F8" s="17">
        <f>E8/D8*100</f>
        <v>6.666666666666667</v>
      </c>
      <c r="G8" s="26">
        <v>12.9</v>
      </c>
      <c r="H8" s="26">
        <v>8.3</v>
      </c>
      <c r="I8" s="17">
        <f>H8/G8*100</f>
        <v>64.34108527131784</v>
      </c>
      <c r="J8" s="28">
        <f>D8+G8</f>
        <v>20.4</v>
      </c>
      <c r="K8" s="28">
        <f>E8+H8</f>
        <v>8.8</v>
      </c>
      <c r="L8" s="17">
        <f>K8/J8*100</f>
        <v>43.137254901960794</v>
      </c>
      <c r="M8" s="28">
        <f>J8-K8</f>
        <v>11.599999999999998</v>
      </c>
      <c r="N8" s="45">
        <f>C8+J8-K8</f>
        <v>11.599999999999998</v>
      </c>
    </row>
    <row r="9" spans="1:14" ht="24.75" customHeight="1">
      <c r="A9" s="23" t="s">
        <v>15</v>
      </c>
      <c r="B9" s="24" t="s">
        <v>93</v>
      </c>
      <c r="C9" s="85">
        <v>-0.4</v>
      </c>
      <c r="D9" s="26">
        <v>1.1</v>
      </c>
      <c r="E9" s="26">
        <v>0.5</v>
      </c>
      <c r="F9" s="17">
        <f>E9/D9*100</f>
        <v>45.45454545454545</v>
      </c>
      <c r="G9" s="26">
        <v>0.8</v>
      </c>
      <c r="H9" s="26">
        <v>0.8</v>
      </c>
      <c r="I9" s="17">
        <f>H9/G9*100</f>
        <v>100</v>
      </c>
      <c r="J9" s="28">
        <f>D9+G9</f>
        <v>1.9000000000000001</v>
      </c>
      <c r="K9" s="28">
        <f>E9+H9</f>
        <v>1.3</v>
      </c>
      <c r="L9" s="17">
        <f>K9/J9*100</f>
        <v>68.42105263157895</v>
      </c>
      <c r="M9" s="28">
        <f>J9-K9</f>
        <v>0.6000000000000001</v>
      </c>
      <c r="N9" s="45">
        <f>C9+J9-K9</f>
        <v>0.19999999999999996</v>
      </c>
    </row>
    <row r="10" spans="1:14" ht="25.5" customHeight="1">
      <c r="A10" s="23" t="s">
        <v>16</v>
      </c>
      <c r="B10" s="32" t="s">
        <v>135</v>
      </c>
      <c r="C10" s="85"/>
      <c r="D10" s="26"/>
      <c r="E10" s="26"/>
      <c r="F10" s="17"/>
      <c r="G10" s="26"/>
      <c r="H10" s="26"/>
      <c r="I10" s="186"/>
      <c r="J10" s="28"/>
      <c r="K10" s="28"/>
      <c r="L10" s="186"/>
      <c r="M10" s="28"/>
      <c r="N10" s="45"/>
    </row>
    <row r="11" spans="1:14" ht="24.75" customHeight="1">
      <c r="A11" s="23" t="s">
        <v>17</v>
      </c>
      <c r="B11" s="24" t="s">
        <v>94</v>
      </c>
      <c r="C11" s="85">
        <v>-8.3</v>
      </c>
      <c r="D11" s="26">
        <v>9.4</v>
      </c>
      <c r="E11" s="26">
        <v>0</v>
      </c>
      <c r="F11" s="17">
        <v>0</v>
      </c>
      <c r="G11" s="26">
        <v>24.3</v>
      </c>
      <c r="H11" s="26">
        <v>7</v>
      </c>
      <c r="I11" s="17">
        <f>H11/G11*100</f>
        <v>28.806584362139915</v>
      </c>
      <c r="J11" s="28">
        <f>D11+G11</f>
        <v>33.7</v>
      </c>
      <c r="K11" s="28">
        <f>E11+H11</f>
        <v>7</v>
      </c>
      <c r="L11" s="17">
        <f>K11/J11*100</f>
        <v>20.771513353115726</v>
      </c>
      <c r="M11" s="28">
        <f>J11-K11</f>
        <v>26.700000000000003</v>
      </c>
      <c r="N11" s="45">
        <f>C11+J11-K11</f>
        <v>18.400000000000002</v>
      </c>
    </row>
    <row r="12" spans="1:14" ht="24.75" customHeight="1">
      <c r="A12" s="23" t="s">
        <v>18</v>
      </c>
      <c r="B12" s="24" t="s">
        <v>95</v>
      </c>
      <c r="C12" s="85"/>
      <c r="D12" s="26"/>
      <c r="E12" s="26"/>
      <c r="F12" s="17"/>
      <c r="G12" s="26"/>
      <c r="H12" s="26"/>
      <c r="I12" s="17"/>
      <c r="J12" s="28"/>
      <c r="K12" s="28"/>
      <c r="L12" s="17"/>
      <c r="M12" s="28"/>
      <c r="N12" s="45"/>
    </row>
    <row r="13" spans="1:14" ht="24.75" customHeight="1">
      <c r="A13" s="23" t="s">
        <v>19</v>
      </c>
      <c r="B13" s="24" t="s">
        <v>96</v>
      </c>
      <c r="C13" s="85"/>
      <c r="D13" s="26"/>
      <c r="E13" s="26"/>
      <c r="F13" s="17"/>
      <c r="G13" s="26"/>
      <c r="H13" s="26"/>
      <c r="I13" s="69"/>
      <c r="J13" s="28"/>
      <c r="K13" s="28"/>
      <c r="L13" s="17"/>
      <c r="M13" s="28"/>
      <c r="N13" s="45"/>
    </row>
    <row r="14" spans="1:14" ht="24.75" customHeight="1">
      <c r="A14" s="23" t="s">
        <v>20</v>
      </c>
      <c r="B14" s="24" t="s">
        <v>97</v>
      </c>
      <c r="C14" s="85">
        <v>-2.7</v>
      </c>
      <c r="D14" s="26">
        <v>0.6</v>
      </c>
      <c r="E14" s="26">
        <v>0.3</v>
      </c>
      <c r="F14" s="17">
        <v>0</v>
      </c>
      <c r="G14" s="26">
        <v>0.6</v>
      </c>
      <c r="H14" s="26">
        <v>0.6</v>
      </c>
      <c r="I14" s="17">
        <f>H14/G14*100</f>
        <v>100</v>
      </c>
      <c r="J14" s="28">
        <f>D14+G14</f>
        <v>1.2</v>
      </c>
      <c r="K14" s="28">
        <f>E14+H14</f>
        <v>0.8999999999999999</v>
      </c>
      <c r="L14" s="17">
        <f>K14/J14*100</f>
        <v>75</v>
      </c>
      <c r="M14" s="28">
        <f>J14-K14</f>
        <v>0.30000000000000004</v>
      </c>
      <c r="N14" s="45">
        <f>C14+J14-K14</f>
        <v>-2.4000000000000004</v>
      </c>
    </row>
    <row r="15" spans="1:14" ht="24.75" customHeight="1">
      <c r="A15" s="23" t="s">
        <v>21</v>
      </c>
      <c r="B15" s="24" t="s">
        <v>98</v>
      </c>
      <c r="C15" s="85">
        <v>-2</v>
      </c>
      <c r="D15" s="26">
        <v>41.6</v>
      </c>
      <c r="E15" s="26">
        <v>41.8</v>
      </c>
      <c r="F15" s="17">
        <f>E15/D15*100</f>
        <v>100.48076923076923</v>
      </c>
      <c r="G15" s="26">
        <v>42.5</v>
      </c>
      <c r="H15" s="26">
        <v>42.7</v>
      </c>
      <c r="I15" s="69">
        <f>H15/G15*100</f>
        <v>100.47058823529413</v>
      </c>
      <c r="J15" s="28">
        <f>D15+G15</f>
        <v>84.1</v>
      </c>
      <c r="K15" s="28">
        <f>E15+H15</f>
        <v>84.5</v>
      </c>
      <c r="L15" s="17">
        <f>K15/J15*100</f>
        <v>100.47562425683711</v>
      </c>
      <c r="M15" s="28">
        <f>J15-K15</f>
        <v>-0.4000000000000057</v>
      </c>
      <c r="N15" s="45">
        <f>C15+J15-K15</f>
        <v>-2.4000000000000057</v>
      </c>
    </row>
    <row r="16" spans="1:14" ht="24.75" customHeight="1">
      <c r="A16" s="23" t="s">
        <v>22</v>
      </c>
      <c r="B16" s="24" t="s">
        <v>99</v>
      </c>
      <c r="C16" s="29"/>
      <c r="D16" s="26"/>
      <c r="E16" s="26"/>
      <c r="F16" s="17"/>
      <c r="G16" s="26"/>
      <c r="H16" s="26"/>
      <c r="I16" s="17"/>
      <c r="J16" s="28"/>
      <c r="K16" s="28"/>
      <c r="L16" s="17"/>
      <c r="M16" s="28"/>
      <c r="N16" s="45"/>
    </row>
    <row r="17" spans="1:14" ht="24.75" customHeight="1">
      <c r="A17" s="23" t="s">
        <v>23</v>
      </c>
      <c r="B17" s="32" t="s">
        <v>100</v>
      </c>
      <c r="C17" s="29"/>
      <c r="D17" s="26"/>
      <c r="E17" s="26"/>
      <c r="F17" s="17"/>
      <c r="G17" s="26"/>
      <c r="H17" s="26"/>
      <c r="I17" s="187"/>
      <c r="J17" s="28"/>
      <c r="K17" s="28"/>
      <c r="L17" s="187"/>
      <c r="M17" s="28"/>
      <c r="N17" s="45"/>
    </row>
    <row r="18" spans="1:14" ht="24.75" customHeight="1">
      <c r="A18" s="23" t="s">
        <v>24</v>
      </c>
      <c r="B18" s="32" t="s">
        <v>101</v>
      </c>
      <c r="C18" s="85"/>
      <c r="D18" s="26"/>
      <c r="E18" s="26"/>
      <c r="F18" s="17"/>
      <c r="G18" s="26"/>
      <c r="H18" s="26"/>
      <c r="I18" s="187"/>
      <c r="J18" s="28"/>
      <c r="K18" s="28"/>
      <c r="L18" s="17"/>
      <c r="M18" s="28"/>
      <c r="N18" s="45"/>
    </row>
    <row r="19" spans="1:14" ht="24.75" customHeight="1">
      <c r="A19" s="23" t="s">
        <v>25</v>
      </c>
      <c r="B19" s="24" t="s">
        <v>102</v>
      </c>
      <c r="C19" s="85"/>
      <c r="D19" s="26"/>
      <c r="E19" s="26"/>
      <c r="F19" s="17"/>
      <c r="G19" s="26"/>
      <c r="H19" s="26"/>
      <c r="I19" s="69"/>
      <c r="J19" s="28"/>
      <c r="K19" s="28"/>
      <c r="L19" s="17"/>
      <c r="M19" s="28"/>
      <c r="N19" s="45"/>
    </row>
    <row r="20" spans="1:14" ht="24.75" customHeight="1">
      <c r="A20" s="23" t="s">
        <v>26</v>
      </c>
      <c r="B20" s="32" t="s">
        <v>103</v>
      </c>
      <c r="C20" s="98"/>
      <c r="D20" s="26"/>
      <c r="E20" s="26"/>
      <c r="F20" s="179"/>
      <c r="G20" s="26"/>
      <c r="H20" s="26"/>
      <c r="I20" s="187"/>
      <c r="J20" s="28"/>
      <c r="K20" s="28"/>
      <c r="L20" s="187"/>
      <c r="M20" s="28"/>
      <c r="N20" s="45"/>
    </row>
    <row r="21" spans="1:14" ht="24.75" customHeight="1">
      <c r="A21" s="23" t="s">
        <v>27</v>
      </c>
      <c r="B21" s="35" t="s">
        <v>104</v>
      </c>
      <c r="C21" s="86"/>
      <c r="D21" s="26"/>
      <c r="E21" s="26"/>
      <c r="F21" s="179"/>
      <c r="G21" s="26"/>
      <c r="H21" s="26"/>
      <c r="I21" s="187"/>
      <c r="J21" s="28"/>
      <c r="K21" s="28"/>
      <c r="L21" s="17"/>
      <c r="M21" s="28"/>
      <c r="N21" s="45"/>
    </row>
    <row r="22" spans="1:14" ht="24.75" customHeight="1">
      <c r="A22" s="23" t="s">
        <v>28</v>
      </c>
      <c r="B22" s="32" t="s">
        <v>105</v>
      </c>
      <c r="C22" s="99"/>
      <c r="D22" s="26"/>
      <c r="E22" s="26"/>
      <c r="F22" s="17"/>
      <c r="G22" s="26"/>
      <c r="H22" s="26"/>
      <c r="I22" s="69"/>
      <c r="J22" s="28"/>
      <c r="K22" s="28"/>
      <c r="L22" s="17"/>
      <c r="M22" s="28"/>
      <c r="N22" s="45"/>
    </row>
    <row r="23" spans="1:14" ht="24.75" customHeight="1">
      <c r="A23" s="23" t="s">
        <v>29</v>
      </c>
      <c r="B23" s="32" t="s">
        <v>126</v>
      </c>
      <c r="C23" s="85"/>
      <c r="D23" s="26"/>
      <c r="E23" s="26"/>
      <c r="F23" s="17"/>
      <c r="G23" s="26"/>
      <c r="H23" s="26"/>
      <c r="I23" s="17"/>
      <c r="J23" s="28"/>
      <c r="K23" s="28"/>
      <c r="L23" s="17"/>
      <c r="M23" s="28"/>
      <c r="N23" s="45"/>
    </row>
    <row r="24" spans="1:14" ht="24.75" customHeight="1">
      <c r="A24" s="23" t="s">
        <v>30</v>
      </c>
      <c r="B24" s="32" t="s">
        <v>106</v>
      </c>
      <c r="C24" s="85">
        <v>0</v>
      </c>
      <c r="D24" s="26">
        <v>0</v>
      </c>
      <c r="E24" s="26">
        <v>0</v>
      </c>
      <c r="F24" s="17">
        <v>0</v>
      </c>
      <c r="G24" s="26">
        <v>11.2</v>
      </c>
      <c r="H24" s="26">
        <v>8.2</v>
      </c>
      <c r="I24" s="17">
        <f>H24/G24*100</f>
        <v>73.21428571428571</v>
      </c>
      <c r="J24" s="28">
        <f>D24+G24</f>
        <v>11.2</v>
      </c>
      <c r="K24" s="28">
        <f>E24+H24</f>
        <v>8.2</v>
      </c>
      <c r="L24" s="17">
        <f>K24/J24*100</f>
        <v>73.21428571428571</v>
      </c>
      <c r="M24" s="28">
        <f>J24-K24</f>
        <v>3</v>
      </c>
      <c r="N24" s="45">
        <f>C24+J24-K24</f>
        <v>3</v>
      </c>
    </row>
    <row r="25" spans="1:14" ht="24.75" customHeight="1">
      <c r="A25" s="23" t="s">
        <v>31</v>
      </c>
      <c r="B25" s="24" t="s">
        <v>107</v>
      </c>
      <c r="C25" s="85"/>
      <c r="D25" s="26"/>
      <c r="E25" s="26"/>
      <c r="F25" s="17"/>
      <c r="G25" s="26"/>
      <c r="H25" s="26"/>
      <c r="I25" s="17"/>
      <c r="J25" s="28"/>
      <c r="K25" s="28"/>
      <c r="L25" s="17"/>
      <c r="M25" s="28"/>
      <c r="N25" s="45"/>
    </row>
    <row r="26" spans="1:14" ht="24.75" customHeight="1">
      <c r="A26" s="23" t="s">
        <v>32</v>
      </c>
      <c r="B26" s="32" t="s">
        <v>108</v>
      </c>
      <c r="C26" s="85"/>
      <c r="D26" s="26"/>
      <c r="E26" s="26"/>
      <c r="F26" s="17"/>
      <c r="G26" s="26"/>
      <c r="H26" s="26"/>
      <c r="I26" s="17"/>
      <c r="J26" s="28"/>
      <c r="K26" s="28"/>
      <c r="L26" s="17"/>
      <c r="M26" s="28"/>
      <c r="N26" s="45"/>
    </row>
    <row r="27" spans="1:14" ht="24.75" customHeight="1">
      <c r="A27" s="23" t="s">
        <v>33</v>
      </c>
      <c r="B27" s="32" t="s">
        <v>109</v>
      </c>
      <c r="C27" s="85"/>
      <c r="D27" s="26"/>
      <c r="E27" s="26"/>
      <c r="F27" s="17"/>
      <c r="G27" s="26"/>
      <c r="H27" s="26"/>
      <c r="I27" s="187"/>
      <c r="J27" s="28"/>
      <c r="K27" s="28"/>
      <c r="L27" s="17"/>
      <c r="M27" s="28"/>
      <c r="N27" s="45"/>
    </row>
    <row r="28" spans="1:14" ht="24.75" customHeight="1">
      <c r="A28" s="23" t="s">
        <v>34</v>
      </c>
      <c r="B28" s="24" t="s">
        <v>110</v>
      </c>
      <c r="C28" s="98">
        <v>0</v>
      </c>
      <c r="D28" s="26">
        <v>0.8</v>
      </c>
      <c r="E28" s="26">
        <v>0.5</v>
      </c>
      <c r="F28" s="179">
        <f>E28/D28*100</f>
        <v>62.5</v>
      </c>
      <c r="G28" s="26">
        <v>1.6</v>
      </c>
      <c r="H28" s="26">
        <v>1.6</v>
      </c>
      <c r="I28" s="187">
        <f>H28/G28*100</f>
        <v>100</v>
      </c>
      <c r="J28" s="28">
        <f>D28+G28</f>
        <v>2.4000000000000004</v>
      </c>
      <c r="K28" s="28">
        <f>E28+H28</f>
        <v>2.1</v>
      </c>
      <c r="L28" s="17">
        <f>K28/J28*100</f>
        <v>87.49999999999999</v>
      </c>
      <c r="M28" s="28">
        <f>J28-K28</f>
        <v>0.30000000000000027</v>
      </c>
      <c r="N28" s="45">
        <f>C28+J28-K28</f>
        <v>0.30000000000000027</v>
      </c>
    </row>
    <row r="29" spans="1:14" ht="24.75" customHeight="1">
      <c r="A29" s="23" t="s">
        <v>35</v>
      </c>
      <c r="B29" s="39" t="s">
        <v>111</v>
      </c>
      <c r="C29" s="219" t="s">
        <v>129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 ht="24.75" customHeight="1">
      <c r="A30" s="23" t="s">
        <v>36</v>
      </c>
      <c r="B30" s="32" t="s">
        <v>112</v>
      </c>
      <c r="C30" s="92"/>
      <c r="D30" s="26"/>
      <c r="E30" s="26"/>
      <c r="F30" s="180"/>
      <c r="G30" s="26"/>
      <c r="H30" s="26"/>
      <c r="I30" s="69"/>
      <c r="J30" s="28"/>
      <c r="K30" s="28"/>
      <c r="L30" s="17"/>
      <c r="M30" s="28"/>
      <c r="N30" s="45"/>
    </row>
    <row r="31" spans="1:14" ht="24.75" customHeight="1">
      <c r="A31" s="23" t="s">
        <v>37</v>
      </c>
      <c r="B31" s="32" t="s">
        <v>113</v>
      </c>
      <c r="C31" s="85">
        <v>0</v>
      </c>
      <c r="D31" s="26">
        <v>0</v>
      </c>
      <c r="E31" s="26">
        <v>0</v>
      </c>
      <c r="F31" s="17">
        <v>0</v>
      </c>
      <c r="G31" s="26">
        <v>4.1</v>
      </c>
      <c r="H31" s="26">
        <v>4.1</v>
      </c>
      <c r="I31" s="17">
        <f>H31/G31*100</f>
        <v>100</v>
      </c>
      <c r="J31" s="28">
        <f aca="true" t="shared" si="0" ref="J31:K37">D31+G31</f>
        <v>4.1</v>
      </c>
      <c r="K31" s="28">
        <f t="shared" si="0"/>
        <v>4.1</v>
      </c>
      <c r="L31" s="17">
        <f>K31/J31*100</f>
        <v>100</v>
      </c>
      <c r="M31" s="28">
        <f>J31-K31</f>
        <v>0</v>
      </c>
      <c r="N31" s="45">
        <f aca="true" t="shared" si="1" ref="N31:N37">C31+J31-K31</f>
        <v>0</v>
      </c>
    </row>
    <row r="32" spans="1:14" ht="24.75" customHeight="1">
      <c r="A32" s="23" t="s">
        <v>38</v>
      </c>
      <c r="B32" s="32" t="s">
        <v>114</v>
      </c>
      <c r="C32" s="86">
        <v>64.5</v>
      </c>
      <c r="D32" s="26">
        <v>26.9</v>
      </c>
      <c r="E32" s="26">
        <v>0</v>
      </c>
      <c r="F32" s="17">
        <f>E32/D32*100</f>
        <v>0</v>
      </c>
      <c r="G32" s="26">
        <v>28.1</v>
      </c>
      <c r="H32" s="26">
        <v>15.1</v>
      </c>
      <c r="I32" s="17">
        <f>H32/G32*100</f>
        <v>53.73665480427046</v>
      </c>
      <c r="J32" s="28">
        <f t="shared" si="0"/>
        <v>55</v>
      </c>
      <c r="K32" s="28">
        <f t="shared" si="0"/>
        <v>15.1</v>
      </c>
      <c r="L32" s="17">
        <f>K32/J32*100</f>
        <v>27.454545454545453</v>
      </c>
      <c r="M32" s="28">
        <f>J32-K32</f>
        <v>39.9</v>
      </c>
      <c r="N32" s="45">
        <f t="shared" si="1"/>
        <v>104.4</v>
      </c>
    </row>
    <row r="33" spans="1:14" ht="24.75" customHeight="1">
      <c r="A33" s="23" t="s">
        <v>39</v>
      </c>
      <c r="B33" s="32" t="s">
        <v>115</v>
      </c>
      <c r="C33" s="86">
        <v>0</v>
      </c>
      <c r="D33" s="42">
        <v>16.8</v>
      </c>
      <c r="E33" s="42">
        <v>16.8</v>
      </c>
      <c r="F33" s="17">
        <f>E33/D33*100</f>
        <v>100</v>
      </c>
      <c r="G33" s="26">
        <v>36.2</v>
      </c>
      <c r="H33" s="26">
        <v>30.6</v>
      </c>
      <c r="I33" s="17">
        <f>H33/G33*100</f>
        <v>84.5303867403315</v>
      </c>
      <c r="J33" s="28">
        <f t="shared" si="0"/>
        <v>53</v>
      </c>
      <c r="K33" s="28">
        <f t="shared" si="0"/>
        <v>47.400000000000006</v>
      </c>
      <c r="L33" s="17">
        <f>K33/J33*100</f>
        <v>89.43396226415096</v>
      </c>
      <c r="M33" s="28">
        <f>J33-K33</f>
        <v>5.599999999999994</v>
      </c>
      <c r="N33" s="45">
        <f t="shared" si="1"/>
        <v>5.599999999999994</v>
      </c>
    </row>
    <row r="34" spans="1:14" ht="24.75" customHeight="1">
      <c r="A34" s="23" t="s">
        <v>40</v>
      </c>
      <c r="B34" s="24" t="s">
        <v>116</v>
      </c>
      <c r="C34" s="100">
        <v>-0.7</v>
      </c>
      <c r="D34" s="26">
        <v>13.1</v>
      </c>
      <c r="E34" s="26">
        <v>12.1</v>
      </c>
      <c r="F34" s="17">
        <f>E34/D34*100</f>
        <v>92.36641221374046</v>
      </c>
      <c r="G34" s="26">
        <v>13.6</v>
      </c>
      <c r="H34" s="26">
        <v>14.3</v>
      </c>
      <c r="I34" s="69">
        <f>H34/G34*100</f>
        <v>105.14705882352942</v>
      </c>
      <c r="J34" s="28">
        <f t="shared" si="0"/>
        <v>26.7</v>
      </c>
      <c r="K34" s="28">
        <f t="shared" si="0"/>
        <v>26.4</v>
      </c>
      <c r="L34" s="17">
        <f>K34/J34*100</f>
        <v>98.87640449438202</v>
      </c>
      <c r="M34" s="28">
        <f>J34-K34</f>
        <v>0.3000000000000007</v>
      </c>
      <c r="N34" s="45">
        <f t="shared" si="1"/>
        <v>-0.3999999999999986</v>
      </c>
    </row>
    <row r="35" spans="1:14" ht="24.75" customHeight="1">
      <c r="A35" s="23" t="s">
        <v>41</v>
      </c>
      <c r="B35" s="32" t="s">
        <v>117</v>
      </c>
      <c r="C35" s="85"/>
      <c r="D35" s="26"/>
      <c r="E35" s="26"/>
      <c r="F35" s="17"/>
      <c r="G35" s="26"/>
      <c r="H35" s="26"/>
      <c r="I35" s="17"/>
      <c r="J35" s="28"/>
      <c r="K35" s="28"/>
      <c r="L35" s="17"/>
      <c r="M35" s="28"/>
      <c r="N35" s="45"/>
    </row>
    <row r="36" spans="1:14" ht="24.75" customHeight="1">
      <c r="A36" s="23" t="s">
        <v>42</v>
      </c>
      <c r="B36" s="32" t="s">
        <v>118</v>
      </c>
      <c r="C36" s="85">
        <v>-0.1</v>
      </c>
      <c r="D36" s="26">
        <v>14.7</v>
      </c>
      <c r="E36" s="26">
        <v>4.5</v>
      </c>
      <c r="F36" s="68">
        <f aca="true" t="shared" si="2" ref="F36:F41">E36/D36*100</f>
        <v>30.612244897959183</v>
      </c>
      <c r="G36" s="26">
        <v>28</v>
      </c>
      <c r="H36" s="26">
        <v>28.1</v>
      </c>
      <c r="I36" s="17">
        <f>H36/G36*100</f>
        <v>100.35714285714286</v>
      </c>
      <c r="J36" s="28">
        <f t="shared" si="0"/>
        <v>42.7</v>
      </c>
      <c r="K36" s="28">
        <f t="shared" si="0"/>
        <v>32.6</v>
      </c>
      <c r="L36" s="17">
        <f>K36/J36*100</f>
        <v>76.34660421545667</v>
      </c>
      <c r="M36" s="28">
        <f>J36-K36</f>
        <v>10.100000000000001</v>
      </c>
      <c r="N36" s="45">
        <f t="shared" si="1"/>
        <v>10</v>
      </c>
    </row>
    <row r="37" spans="1:14" ht="24.75" customHeight="1">
      <c r="A37" s="23" t="s">
        <v>43</v>
      </c>
      <c r="B37" s="32" t="s">
        <v>119</v>
      </c>
      <c r="C37" s="85">
        <v>-1.5</v>
      </c>
      <c r="D37" s="26">
        <v>3.6</v>
      </c>
      <c r="E37" s="26">
        <v>0.1</v>
      </c>
      <c r="F37" s="17">
        <f t="shared" si="2"/>
        <v>2.777777777777778</v>
      </c>
      <c r="G37" s="26">
        <v>3</v>
      </c>
      <c r="H37" s="26">
        <v>0.2</v>
      </c>
      <c r="I37" s="17">
        <f>H37/G37*100</f>
        <v>6.666666666666667</v>
      </c>
      <c r="J37" s="28">
        <f t="shared" si="0"/>
        <v>6.6</v>
      </c>
      <c r="K37" s="28">
        <f t="shared" si="0"/>
        <v>0.30000000000000004</v>
      </c>
      <c r="L37" s="17">
        <f>K37/J37*100</f>
        <v>4.545454545454546</v>
      </c>
      <c r="M37" s="28">
        <f>J37-K37</f>
        <v>6.3</v>
      </c>
      <c r="N37" s="45">
        <f t="shared" si="1"/>
        <v>4.8</v>
      </c>
    </row>
    <row r="38" spans="1:14" ht="24.75" customHeight="1">
      <c r="A38" s="23" t="s">
        <v>44</v>
      </c>
      <c r="B38" s="32" t="s">
        <v>127</v>
      </c>
      <c r="C38" s="85"/>
      <c r="D38" s="26"/>
      <c r="E38" s="26"/>
      <c r="F38" s="17"/>
      <c r="G38" s="26"/>
      <c r="H38" s="26"/>
      <c r="I38" s="17"/>
      <c r="J38" s="28"/>
      <c r="K38" s="28"/>
      <c r="L38" s="17"/>
      <c r="M38" s="28"/>
      <c r="N38" s="45"/>
    </row>
    <row r="39" spans="1:14" ht="24.75" customHeight="1">
      <c r="A39" s="23" t="s">
        <v>45</v>
      </c>
      <c r="B39" s="24" t="s">
        <v>128</v>
      </c>
      <c r="C39" s="29"/>
      <c r="D39" s="26"/>
      <c r="E39" s="26"/>
      <c r="F39" s="17"/>
      <c r="G39" s="26"/>
      <c r="H39" s="26"/>
      <c r="I39" s="69"/>
      <c r="J39" s="28"/>
      <c r="K39" s="28"/>
      <c r="L39" s="17"/>
      <c r="M39" s="28"/>
      <c r="N39" s="45"/>
    </row>
    <row r="40" spans="1:14" ht="24.75" customHeight="1">
      <c r="A40" s="23" t="s">
        <v>46</v>
      </c>
      <c r="B40" s="32" t="s">
        <v>120</v>
      </c>
      <c r="C40" s="85"/>
      <c r="D40" s="26"/>
      <c r="E40" s="26"/>
      <c r="F40" s="187"/>
      <c r="G40" s="26"/>
      <c r="H40" s="26"/>
      <c r="I40" s="187"/>
      <c r="J40" s="28"/>
      <c r="K40" s="28"/>
      <c r="L40" s="17"/>
      <c r="M40" s="28"/>
      <c r="N40" s="45"/>
    </row>
    <row r="41" spans="1:14" s="22" customFormat="1" ht="24.75" customHeight="1">
      <c r="A41" s="23" t="s">
        <v>47</v>
      </c>
      <c r="B41" s="43" t="s">
        <v>121</v>
      </c>
      <c r="C41" s="45">
        <f>SUM(C42:C42)</f>
        <v>-196.1</v>
      </c>
      <c r="D41" s="45">
        <f>SUM(D42:D42)</f>
        <v>885.3</v>
      </c>
      <c r="E41" s="45">
        <f>SUM(E42:E42)</f>
        <v>16</v>
      </c>
      <c r="F41" s="17">
        <f t="shared" si="2"/>
        <v>1.8072969614819836</v>
      </c>
      <c r="G41" s="45">
        <f>SUM(G42:G42)</f>
        <v>965.5</v>
      </c>
      <c r="H41" s="45">
        <f>SUM(H42:H42)</f>
        <v>883.4</v>
      </c>
      <c r="I41" s="17">
        <f>H41/G41*100</f>
        <v>91.49663386846193</v>
      </c>
      <c r="J41" s="45">
        <f>SUM(J42:J42)</f>
        <v>1850.8</v>
      </c>
      <c r="K41" s="45">
        <f>SUM(K42:K42)</f>
        <v>899.4</v>
      </c>
      <c r="L41" s="17">
        <f>K41/J41*100</f>
        <v>48.59520207477848</v>
      </c>
      <c r="M41" s="45">
        <f>SUM(M42:M42)</f>
        <v>951.4</v>
      </c>
      <c r="N41" s="45">
        <f>SUM(N42:N42)</f>
        <v>755.3000000000001</v>
      </c>
    </row>
    <row r="42" spans="1:14" s="22" customFormat="1" ht="28.5" customHeight="1">
      <c r="A42" s="14"/>
      <c r="B42" s="24" t="s">
        <v>122</v>
      </c>
      <c r="C42" s="85">
        <v>-196.1</v>
      </c>
      <c r="D42" s="26">
        <v>885.3</v>
      </c>
      <c r="E42" s="26">
        <v>16</v>
      </c>
      <c r="F42" s="17">
        <f>E42/D42*100</f>
        <v>1.8072969614819836</v>
      </c>
      <c r="G42" s="26">
        <v>965.5</v>
      </c>
      <c r="H42" s="26">
        <v>883.4</v>
      </c>
      <c r="I42" s="17">
        <f>H42/G42*100</f>
        <v>91.49663386846193</v>
      </c>
      <c r="J42" s="28">
        <f>D42+G42</f>
        <v>1850.8</v>
      </c>
      <c r="K42" s="28">
        <f>E42+H42</f>
        <v>899.4</v>
      </c>
      <c r="L42" s="17">
        <f>K42/J42*100</f>
        <v>48.59520207477848</v>
      </c>
      <c r="M42" s="28">
        <f>J42-K42</f>
        <v>951.4</v>
      </c>
      <c r="N42" s="45">
        <f>C42+J42-K42</f>
        <v>755.3000000000001</v>
      </c>
    </row>
    <row r="43" spans="1:14" ht="24.75" customHeight="1">
      <c r="A43" s="23"/>
      <c r="B43" s="43" t="s">
        <v>123</v>
      </c>
      <c r="C43" s="45">
        <f>C41+C7</f>
        <v>-147.3</v>
      </c>
      <c r="D43" s="45">
        <f>D41+D7</f>
        <v>1021.4</v>
      </c>
      <c r="E43" s="45">
        <f>E41+E7</f>
        <v>93.09999999999998</v>
      </c>
      <c r="F43" s="17">
        <f>E43/D43*100</f>
        <v>9.114940278049733</v>
      </c>
      <c r="G43" s="45">
        <f>G7+G41</f>
        <v>1172.4</v>
      </c>
      <c r="H43" s="45">
        <f>H7+H41</f>
        <v>1045</v>
      </c>
      <c r="I43" s="17">
        <f>H43/G43*100</f>
        <v>89.13340156943022</v>
      </c>
      <c r="J43" s="79">
        <f>J7+J41</f>
        <v>2193.8</v>
      </c>
      <c r="K43" s="79">
        <f>K7+K41</f>
        <v>1138.1</v>
      </c>
      <c r="L43" s="17">
        <f>K43/J43*100</f>
        <v>51.8780198741909</v>
      </c>
      <c r="M43" s="45">
        <f>M7+M41</f>
        <v>1055.7</v>
      </c>
      <c r="N43" s="45">
        <f>N7+N41</f>
        <v>908.4000000000001</v>
      </c>
    </row>
    <row r="44" spans="1:26" ht="27.75" customHeight="1">
      <c r="A44" s="48"/>
      <c r="B44" s="49"/>
      <c r="C44" s="50"/>
      <c r="D44" s="46"/>
      <c r="E44" s="46"/>
      <c r="F44" s="20"/>
      <c r="G44" s="46"/>
      <c r="H44" s="46"/>
      <c r="I44" s="20"/>
      <c r="J44" s="52"/>
      <c r="K44" s="52"/>
      <c r="L44" s="20"/>
      <c r="M44" s="20"/>
      <c r="N44" s="46"/>
      <c r="O44" s="46"/>
      <c r="P44" s="46"/>
      <c r="Q44" s="46"/>
      <c r="R44" s="46"/>
      <c r="S44" s="46"/>
      <c r="T44" s="46"/>
      <c r="U44" s="46"/>
      <c r="V44" s="46"/>
      <c r="W44" s="13"/>
      <c r="X44" s="13"/>
      <c r="Y44" s="13"/>
      <c r="Z44" s="13"/>
    </row>
    <row r="45" spans="1:26" s="22" customFormat="1" ht="19.5" customHeight="1" hidden="1">
      <c r="A45" s="51"/>
      <c r="B45" s="22" t="s">
        <v>124</v>
      </c>
      <c r="C45" s="52"/>
      <c r="D45" s="19"/>
      <c r="E45" s="19"/>
      <c r="F45" s="53"/>
      <c r="G45" s="2"/>
      <c r="H45" s="2"/>
      <c r="I45" s="185"/>
      <c r="J45" s="2"/>
      <c r="K45" s="2"/>
      <c r="L45" s="185"/>
      <c r="M45" s="223" t="s">
        <v>139</v>
      </c>
      <c r="N45" s="224"/>
      <c r="O45" s="53"/>
      <c r="P45" s="53"/>
      <c r="Q45" s="53"/>
      <c r="R45" s="53"/>
      <c r="S45" s="53"/>
      <c r="T45" s="19"/>
      <c r="U45" s="54"/>
      <c r="V45" s="54"/>
      <c r="W45" s="55"/>
      <c r="X45" s="54"/>
      <c r="Z45" s="54"/>
    </row>
    <row r="46" spans="1:26" s="22" customFormat="1" ht="7.5" customHeight="1" hidden="1">
      <c r="A46" s="21"/>
      <c r="C46" s="52"/>
      <c r="D46" s="19"/>
      <c r="E46" s="19"/>
      <c r="F46" s="53"/>
      <c r="G46" s="60"/>
      <c r="H46" s="60"/>
      <c r="I46" s="61"/>
      <c r="J46" s="60"/>
      <c r="K46" s="60"/>
      <c r="L46" s="61"/>
      <c r="M46" s="6"/>
      <c r="N46" s="62" t="s">
        <v>137</v>
      </c>
      <c r="O46" s="53"/>
      <c r="P46" s="53"/>
      <c r="Q46" s="53"/>
      <c r="R46" s="53"/>
      <c r="S46" s="53"/>
      <c r="T46" s="19"/>
      <c r="U46" s="54"/>
      <c r="V46" s="54"/>
      <c r="W46" s="55"/>
      <c r="X46" s="54"/>
      <c r="Z46" s="54"/>
    </row>
    <row r="47" spans="1:26" s="22" customFormat="1" ht="19.5" customHeight="1" hidden="1">
      <c r="A47" s="51"/>
      <c r="B47" s="22" t="s">
        <v>125</v>
      </c>
      <c r="C47" s="52"/>
      <c r="D47" s="19"/>
      <c r="E47" s="19"/>
      <c r="F47" s="53"/>
      <c r="G47" s="6"/>
      <c r="I47" s="22" t="s">
        <v>54</v>
      </c>
      <c r="N47" s="6"/>
      <c r="O47" s="53"/>
      <c r="P47" s="53"/>
      <c r="Q47" s="53"/>
      <c r="R47" s="53"/>
      <c r="S47" s="53"/>
      <c r="T47" s="19"/>
      <c r="U47" s="54"/>
      <c r="V47" s="54"/>
      <c r="W47" s="55"/>
      <c r="X47" s="54"/>
      <c r="Z47" s="54"/>
    </row>
    <row r="48" spans="1:26" ht="24.75" customHeight="1">
      <c r="A48" s="6"/>
      <c r="C48" s="56"/>
      <c r="D48" s="57"/>
      <c r="E48" s="57"/>
      <c r="F48" s="53"/>
      <c r="O48" s="101"/>
      <c r="P48" s="57"/>
      <c r="Q48" s="57"/>
      <c r="R48" s="57"/>
      <c r="S48" s="57"/>
      <c r="T48" s="57"/>
      <c r="U48" s="8"/>
      <c r="V48" s="8"/>
      <c r="W48" s="58"/>
      <c r="X48" s="8"/>
      <c r="Z48" s="8"/>
    </row>
    <row r="49" spans="1:15" s="3" customFormat="1" ht="49.5" customHeight="1">
      <c r="A49" s="1"/>
      <c r="B49" s="213" t="s">
        <v>140</v>
      </c>
      <c r="C49" s="213"/>
      <c r="D49" s="213"/>
      <c r="E49" s="213"/>
      <c r="F49" s="213"/>
      <c r="G49" s="6"/>
      <c r="H49" s="6"/>
      <c r="I49" s="22"/>
      <c r="J49" s="6"/>
      <c r="K49" s="6"/>
      <c r="L49" s="22"/>
      <c r="M49" s="6"/>
      <c r="N49" s="6"/>
      <c r="O49" s="102"/>
    </row>
    <row r="50" spans="1:14" ht="73.5" customHeight="1" hidden="1">
      <c r="A50" s="214" t="s">
        <v>136</v>
      </c>
      <c r="B50" s="214"/>
      <c r="C50" s="59"/>
      <c r="D50" s="59"/>
      <c r="E50" s="59"/>
      <c r="F50" s="59"/>
      <c r="G50" s="57"/>
      <c r="H50" s="57"/>
      <c r="I50" s="184"/>
      <c r="J50" s="57"/>
      <c r="K50" s="57"/>
      <c r="L50" s="184"/>
      <c r="M50" s="57"/>
      <c r="N50" s="57"/>
    </row>
    <row r="51" spans="2:14" ht="18.75">
      <c r="B51" s="96"/>
      <c r="G51" s="57"/>
      <c r="H51" s="57"/>
      <c r="I51" s="184"/>
      <c r="J51" s="57"/>
      <c r="K51" s="57"/>
      <c r="L51" s="184"/>
      <c r="M51" s="57"/>
      <c r="N51" s="57"/>
    </row>
    <row r="52" spans="7:14" ht="18.75">
      <c r="G52" s="57"/>
      <c r="H52" s="57"/>
      <c r="I52" s="184"/>
      <c r="J52" s="57"/>
      <c r="K52" s="57"/>
      <c r="L52" s="184"/>
      <c r="M52" s="57"/>
      <c r="N52" s="57"/>
    </row>
    <row r="53" spans="2:14" ht="18.75">
      <c r="B53" s="96"/>
      <c r="G53" s="57"/>
      <c r="H53" s="57"/>
      <c r="I53" s="184"/>
      <c r="J53" s="57"/>
      <c r="K53" s="57"/>
      <c r="L53" s="184"/>
      <c r="M53" s="57"/>
      <c r="N53" s="57"/>
    </row>
    <row r="54" spans="2:14" ht="18.75">
      <c r="B54" s="96"/>
      <c r="G54" s="57"/>
      <c r="H54" s="57"/>
      <c r="I54" s="184"/>
      <c r="J54" s="57"/>
      <c r="K54" s="57"/>
      <c r="L54" s="184"/>
      <c r="M54" s="57"/>
      <c r="N54" s="57"/>
    </row>
    <row r="55" spans="2:14" ht="18.75">
      <c r="B55" s="96"/>
      <c r="G55" s="57"/>
      <c r="H55" s="57"/>
      <c r="I55" s="184"/>
      <c r="J55" s="57"/>
      <c r="K55" s="57"/>
      <c r="L55" s="184"/>
      <c r="M55" s="57"/>
      <c r="N55" s="57"/>
    </row>
    <row r="56" spans="2:14" ht="18.75">
      <c r="B56" s="96"/>
      <c r="G56" s="57"/>
      <c r="H56" s="57"/>
      <c r="I56" s="184"/>
      <c r="J56" s="57"/>
      <c r="K56" s="57"/>
      <c r="L56" s="184"/>
      <c r="M56" s="57"/>
      <c r="N56" s="57"/>
    </row>
    <row r="57" spans="7:14" ht="18.75">
      <c r="G57" s="57"/>
      <c r="H57" s="57"/>
      <c r="I57" s="184"/>
      <c r="J57" s="57"/>
      <c r="K57" s="57"/>
      <c r="L57" s="184"/>
      <c r="M57" s="57"/>
      <c r="N57" s="57"/>
    </row>
    <row r="58" spans="7:14" ht="18.75">
      <c r="G58" s="57"/>
      <c r="H58" s="57"/>
      <c r="I58" s="184"/>
      <c r="J58" s="57"/>
      <c r="K58" s="57"/>
      <c r="L58" s="184"/>
      <c r="M58" s="57"/>
      <c r="N58" s="57"/>
    </row>
    <row r="59" spans="7:14" ht="18.75">
      <c r="G59" s="57"/>
      <c r="H59" s="57"/>
      <c r="I59" s="184"/>
      <c r="J59" s="57"/>
      <c r="K59" s="57"/>
      <c r="L59" s="184"/>
      <c r="M59" s="57"/>
      <c r="N59" s="57"/>
    </row>
    <row r="60" spans="7:14" ht="18.75">
      <c r="G60" s="57"/>
      <c r="H60" s="57"/>
      <c r="I60" s="184"/>
      <c r="J60" s="57"/>
      <c r="K60" s="57"/>
      <c r="L60" s="184"/>
      <c r="M60" s="57"/>
      <c r="N60" s="57"/>
    </row>
    <row r="61" spans="7:14" ht="18.75">
      <c r="G61" s="57"/>
      <c r="H61" s="57"/>
      <c r="I61" s="184"/>
      <c r="J61" s="57"/>
      <c r="K61" s="57"/>
      <c r="L61" s="184"/>
      <c r="M61" s="57"/>
      <c r="N61" s="57"/>
    </row>
    <row r="62" spans="7:14" ht="18.75">
      <c r="G62" s="57"/>
      <c r="H62" s="57"/>
      <c r="I62" s="184"/>
      <c r="J62" s="57"/>
      <c r="K62" s="57"/>
      <c r="L62" s="184"/>
      <c r="M62" s="57"/>
      <c r="N62" s="57"/>
    </row>
    <row r="63" spans="7:14" ht="18.75">
      <c r="G63" s="57"/>
      <c r="H63" s="57"/>
      <c r="I63" s="184"/>
      <c r="J63" s="57"/>
      <c r="K63" s="57"/>
      <c r="L63" s="184"/>
      <c r="M63" s="57"/>
      <c r="N63" s="57"/>
    </row>
    <row r="64" spans="7:14" ht="18.75">
      <c r="G64" s="57"/>
      <c r="H64" s="57"/>
      <c r="I64" s="184"/>
      <c r="J64" s="57"/>
      <c r="K64" s="57"/>
      <c r="L64" s="184"/>
      <c r="M64" s="57"/>
      <c r="N64" s="57"/>
    </row>
    <row r="65" spans="7:14" ht="18.75">
      <c r="G65" s="57"/>
      <c r="H65" s="57"/>
      <c r="I65" s="184"/>
      <c r="J65" s="57"/>
      <c r="K65" s="57"/>
      <c r="L65" s="184"/>
      <c r="M65" s="57"/>
      <c r="N65" s="57"/>
    </row>
    <row r="66" spans="7:14" ht="18.75">
      <c r="G66" s="57"/>
      <c r="H66" s="57"/>
      <c r="I66" s="184"/>
      <c r="J66" s="57"/>
      <c r="K66" s="57"/>
      <c r="L66" s="184"/>
      <c r="M66" s="57"/>
      <c r="N66" s="57"/>
    </row>
    <row r="67" spans="7:14" ht="18.75">
      <c r="G67" s="57"/>
      <c r="H67" s="57"/>
      <c r="I67" s="184"/>
      <c r="J67" s="57"/>
      <c r="K67" s="57"/>
      <c r="L67" s="184"/>
      <c r="M67" s="57"/>
      <c r="N67" s="57"/>
    </row>
    <row r="68" spans="7:14" ht="18.75">
      <c r="G68" s="57"/>
      <c r="H68" s="57"/>
      <c r="I68" s="184"/>
      <c r="J68" s="57"/>
      <c r="K68" s="57"/>
      <c r="L68" s="184"/>
      <c r="M68" s="57"/>
      <c r="N68" s="57"/>
    </row>
    <row r="69" spans="7:14" ht="18.75">
      <c r="G69" s="57"/>
      <c r="H69" s="57"/>
      <c r="I69" s="184"/>
      <c r="J69" s="57"/>
      <c r="K69" s="57"/>
      <c r="L69" s="184"/>
      <c r="M69" s="57"/>
      <c r="N69" s="57"/>
    </row>
    <row r="70" spans="7:14" ht="18.75">
      <c r="G70" s="57"/>
      <c r="H70" s="57"/>
      <c r="I70" s="184"/>
      <c r="J70" s="57"/>
      <c r="K70" s="57"/>
      <c r="L70" s="184"/>
      <c r="M70" s="57"/>
      <c r="N70" s="57"/>
    </row>
    <row r="71" spans="7:14" ht="18.75">
      <c r="G71" s="57"/>
      <c r="H71" s="57"/>
      <c r="I71" s="184"/>
      <c r="J71" s="57"/>
      <c r="K71" s="57"/>
      <c r="L71" s="184"/>
      <c r="M71" s="57"/>
      <c r="N71" s="57"/>
    </row>
    <row r="72" spans="7:14" ht="18.75">
      <c r="G72" s="57"/>
      <c r="H72" s="57"/>
      <c r="I72" s="184"/>
      <c r="J72" s="57"/>
      <c r="K72" s="57"/>
      <c r="L72" s="184"/>
      <c r="M72" s="57"/>
      <c r="N72" s="57"/>
    </row>
    <row r="73" spans="7:14" ht="18.75">
      <c r="G73" s="57"/>
      <c r="H73" s="57"/>
      <c r="I73" s="184"/>
      <c r="J73" s="57"/>
      <c r="K73" s="57"/>
      <c r="L73" s="184"/>
      <c r="M73" s="57"/>
      <c r="N73" s="57"/>
    </row>
    <row r="74" spans="7:14" ht="18.75">
      <c r="G74" s="57"/>
      <c r="H74" s="57"/>
      <c r="I74" s="184"/>
      <c r="J74" s="57"/>
      <c r="K74" s="57"/>
      <c r="L74" s="184"/>
      <c r="M74" s="57"/>
      <c r="N74" s="57"/>
    </row>
    <row r="75" spans="7:14" ht="18.75">
      <c r="G75" s="57"/>
      <c r="H75" s="57"/>
      <c r="I75" s="184"/>
      <c r="J75" s="57"/>
      <c r="K75" s="57"/>
      <c r="L75" s="184"/>
      <c r="M75" s="57"/>
      <c r="N75" s="57"/>
    </row>
    <row r="76" spans="7:14" ht="18.75">
      <c r="G76" s="57"/>
      <c r="H76" s="57"/>
      <c r="I76" s="184"/>
      <c r="J76" s="57"/>
      <c r="K76" s="57"/>
      <c r="L76" s="184"/>
      <c r="M76" s="57"/>
      <c r="N76" s="57"/>
    </row>
    <row r="77" spans="7:14" ht="18.75">
      <c r="G77" s="57"/>
      <c r="H77" s="57"/>
      <c r="I77" s="184"/>
      <c r="J77" s="57"/>
      <c r="K77" s="57"/>
      <c r="L77" s="184"/>
      <c r="M77" s="57"/>
      <c r="N77" s="57"/>
    </row>
    <row r="78" spans="7:14" ht="18.75">
      <c r="G78" s="57"/>
      <c r="H78" s="57"/>
      <c r="I78" s="184"/>
      <c r="J78" s="57"/>
      <c r="K78" s="57"/>
      <c r="L78" s="184"/>
      <c r="M78" s="57"/>
      <c r="N78" s="57"/>
    </row>
    <row r="79" spans="7:14" ht="18.75">
      <c r="G79" s="57"/>
      <c r="H79" s="57"/>
      <c r="I79" s="184"/>
      <c r="J79" s="57"/>
      <c r="K79" s="57"/>
      <c r="L79" s="184"/>
      <c r="M79" s="57"/>
      <c r="N79" s="57"/>
    </row>
    <row r="80" spans="7:14" ht="18.75">
      <c r="G80" s="57"/>
      <c r="H80" s="57"/>
      <c r="I80" s="184"/>
      <c r="J80" s="57"/>
      <c r="K80" s="57"/>
      <c r="L80" s="184"/>
      <c r="M80" s="57"/>
      <c r="N80" s="57"/>
    </row>
    <row r="81" spans="7:14" ht="18.75">
      <c r="G81" s="57"/>
      <c r="H81" s="57"/>
      <c r="I81" s="184"/>
      <c r="J81" s="57"/>
      <c r="K81" s="57"/>
      <c r="L81" s="184"/>
      <c r="M81" s="57"/>
      <c r="N81" s="57"/>
    </row>
    <row r="82" spans="7:14" ht="18.75">
      <c r="G82" s="57"/>
      <c r="H82" s="57"/>
      <c r="I82" s="184"/>
      <c r="J82" s="57"/>
      <c r="K82" s="57"/>
      <c r="L82" s="184"/>
      <c r="M82" s="57"/>
      <c r="N82" s="57"/>
    </row>
    <row r="83" spans="7:14" ht="18.75">
      <c r="G83" s="57"/>
      <c r="H83" s="57"/>
      <c r="I83" s="184"/>
      <c r="J83" s="57"/>
      <c r="K83" s="57"/>
      <c r="L83" s="184"/>
      <c r="M83" s="57"/>
      <c r="N83" s="57"/>
    </row>
    <row r="84" spans="7:14" ht="18.75">
      <c r="G84" s="57"/>
      <c r="H84" s="57"/>
      <c r="I84" s="184"/>
      <c r="J84" s="57"/>
      <c r="K84" s="57"/>
      <c r="L84" s="184"/>
      <c r="M84" s="57"/>
      <c r="N84" s="57"/>
    </row>
    <row r="85" spans="7:14" ht="18.75">
      <c r="G85" s="57"/>
      <c r="H85" s="57"/>
      <c r="I85" s="184"/>
      <c r="J85" s="57"/>
      <c r="K85" s="57"/>
      <c r="L85" s="184"/>
      <c r="M85" s="57"/>
      <c r="N85" s="57"/>
    </row>
    <row r="86" spans="7:14" ht="18.75">
      <c r="G86" s="57"/>
      <c r="H86" s="57"/>
      <c r="I86" s="184"/>
      <c r="J86" s="57"/>
      <c r="K86" s="57"/>
      <c r="L86" s="184"/>
      <c r="M86" s="57"/>
      <c r="N86" s="57"/>
    </row>
    <row r="87" spans="7:14" ht="18.75">
      <c r="G87" s="57"/>
      <c r="H87" s="57"/>
      <c r="I87" s="184"/>
      <c r="J87" s="57"/>
      <c r="K87" s="57"/>
      <c r="L87" s="184"/>
      <c r="M87" s="57"/>
      <c r="N87" s="57"/>
    </row>
    <row r="88" spans="7:14" ht="18.75">
      <c r="G88" s="57"/>
      <c r="H88" s="57"/>
      <c r="I88" s="184"/>
      <c r="J88" s="57"/>
      <c r="K88" s="57"/>
      <c r="L88" s="184"/>
      <c r="M88" s="57"/>
      <c r="N88" s="57"/>
    </row>
    <row r="89" spans="7:14" ht="18.75">
      <c r="G89" s="57"/>
      <c r="H89" s="57"/>
      <c r="I89" s="184"/>
      <c r="J89" s="57"/>
      <c r="K89" s="57"/>
      <c r="L89" s="184"/>
      <c r="M89" s="57"/>
      <c r="N89" s="57"/>
    </row>
    <row r="90" spans="7:14" ht="18.75">
      <c r="G90" s="57"/>
      <c r="H90" s="57"/>
      <c r="I90" s="184"/>
      <c r="J90" s="57"/>
      <c r="K90" s="57"/>
      <c r="L90" s="184"/>
      <c r="M90" s="57"/>
      <c r="N90" s="57"/>
    </row>
    <row r="91" spans="7:14" ht="18.75">
      <c r="G91" s="57"/>
      <c r="H91" s="57"/>
      <c r="I91" s="184"/>
      <c r="J91" s="57"/>
      <c r="K91" s="57"/>
      <c r="L91" s="184"/>
      <c r="M91" s="57"/>
      <c r="N91" s="57"/>
    </row>
    <row r="92" spans="7:14" ht="18.75">
      <c r="G92" s="57"/>
      <c r="H92" s="57"/>
      <c r="I92" s="184"/>
      <c r="J92" s="57"/>
      <c r="K92" s="57"/>
      <c r="L92" s="184"/>
      <c r="M92" s="57"/>
      <c r="N92" s="57"/>
    </row>
    <row r="93" spans="7:14" ht="18.75">
      <c r="G93" s="57"/>
      <c r="H93" s="57"/>
      <c r="I93" s="184"/>
      <c r="J93" s="57"/>
      <c r="K93" s="57"/>
      <c r="L93" s="184"/>
      <c r="M93" s="57"/>
      <c r="N93" s="57"/>
    </row>
    <row r="94" spans="7:14" ht="18.75">
      <c r="G94" s="57"/>
      <c r="H94" s="57"/>
      <c r="I94" s="184"/>
      <c r="J94" s="57"/>
      <c r="K94" s="57"/>
      <c r="L94" s="184"/>
      <c r="M94" s="57"/>
      <c r="N94" s="57"/>
    </row>
    <row r="95" spans="7:14" ht="18.75">
      <c r="G95" s="57"/>
      <c r="H95" s="57"/>
      <c r="I95" s="184"/>
      <c r="J95" s="57"/>
      <c r="K95" s="57"/>
      <c r="L95" s="184"/>
      <c r="M95" s="57"/>
      <c r="N95" s="57"/>
    </row>
  </sheetData>
  <sheetProtection/>
  <mergeCells count="13">
    <mergeCell ref="A50:B50"/>
    <mergeCell ref="I1:N1"/>
    <mergeCell ref="B4:F4"/>
    <mergeCell ref="A3:N3"/>
    <mergeCell ref="A2:N2"/>
    <mergeCell ref="M5:M6"/>
    <mergeCell ref="N5:N6"/>
    <mergeCell ref="M45:N45"/>
    <mergeCell ref="C29:N29"/>
    <mergeCell ref="B49:F49"/>
    <mergeCell ref="D5:F5"/>
    <mergeCell ref="G5:I5"/>
    <mergeCell ref="J5:L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95"/>
  <sheetViews>
    <sheetView view="pageBreakPreview" zoomScale="77" zoomScaleNormal="50" zoomScaleSheetLayoutView="77" zoomScalePageLayoutView="0" workbookViewId="0" topLeftCell="A1">
      <pane xSplit="6" ySplit="8" topLeftCell="G3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48" sqref="E48"/>
    </sheetView>
  </sheetViews>
  <sheetFormatPr defaultColWidth="6.75390625" defaultRowHeight="12.75"/>
  <cols>
    <col min="1" max="1" width="5.625" style="5" customWidth="1"/>
    <col min="2" max="2" width="48.75390625" style="6" customWidth="1"/>
    <col min="3" max="3" width="17.125" style="63" customWidth="1"/>
    <col min="4" max="5" width="21.125" style="6" customWidth="1"/>
    <col min="6" max="6" width="13.75390625" style="22" customWidth="1"/>
    <col min="7" max="7" width="14.75390625" style="6" customWidth="1"/>
    <col min="8" max="8" width="16.00390625" style="6" customWidth="1"/>
    <col min="9" max="9" width="11.125" style="22" customWidth="1"/>
    <col min="10" max="11" width="14.75390625" style="6" customWidth="1"/>
    <col min="12" max="12" width="11.125" style="22" customWidth="1"/>
    <col min="13" max="13" width="16.75390625" style="6" customWidth="1"/>
    <col min="14" max="14" width="18.25390625" style="6" customWidth="1"/>
    <col min="15" max="15" width="10.625" style="6" customWidth="1"/>
    <col min="16" max="16" width="12.00390625" style="6" customWidth="1"/>
    <col min="17" max="16384" width="6.75390625" style="6" customWidth="1"/>
  </cols>
  <sheetData>
    <row r="1" spans="9:14" ht="19.5" customHeight="1">
      <c r="I1" s="216" t="s">
        <v>51</v>
      </c>
      <c r="J1" s="216"/>
      <c r="K1" s="216"/>
      <c r="L1" s="216"/>
      <c r="M1" s="216"/>
      <c r="N1" s="216"/>
    </row>
    <row r="2" spans="2:14" ht="18.75">
      <c r="B2" s="218" t="s">
        <v>134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ht="33.75" customHeight="1">
      <c r="B3" s="197" t="s">
        <v>144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4" ht="18.75">
      <c r="B4" s="217"/>
      <c r="C4" s="217"/>
      <c r="D4" s="217"/>
      <c r="E4" s="217"/>
      <c r="F4" s="217"/>
      <c r="N4" s="151" t="s">
        <v>7</v>
      </c>
    </row>
    <row r="5" spans="1:14" ht="58.5" customHeight="1">
      <c r="A5" s="64" t="s">
        <v>56</v>
      </c>
      <c r="B5" s="10"/>
      <c r="C5" s="159" t="s">
        <v>1</v>
      </c>
      <c r="D5" s="190" t="s">
        <v>146</v>
      </c>
      <c r="E5" s="191"/>
      <c r="F5" s="192"/>
      <c r="G5" s="210" t="s">
        <v>147</v>
      </c>
      <c r="H5" s="211"/>
      <c r="I5" s="212"/>
      <c r="J5" s="190" t="s">
        <v>148</v>
      </c>
      <c r="K5" s="191"/>
      <c r="L5" s="192"/>
      <c r="M5" s="193" t="s">
        <v>149</v>
      </c>
      <c r="N5" s="193" t="s">
        <v>145</v>
      </c>
    </row>
    <row r="6" spans="1:14" ht="30" customHeight="1">
      <c r="A6" s="65" t="s">
        <v>57</v>
      </c>
      <c r="B6" s="12" t="s">
        <v>89</v>
      </c>
      <c r="C6" s="160" t="s">
        <v>143</v>
      </c>
      <c r="D6" s="11" t="s">
        <v>150</v>
      </c>
      <c r="E6" s="11" t="s">
        <v>91</v>
      </c>
      <c r="F6" s="66" t="s">
        <v>0</v>
      </c>
      <c r="G6" s="11" t="s">
        <v>150</v>
      </c>
      <c r="H6" s="11" t="s">
        <v>91</v>
      </c>
      <c r="I6" s="66" t="s">
        <v>0</v>
      </c>
      <c r="J6" s="11" t="s">
        <v>150</v>
      </c>
      <c r="K6" s="11" t="s">
        <v>91</v>
      </c>
      <c r="L6" s="66" t="s">
        <v>0</v>
      </c>
      <c r="M6" s="194"/>
      <c r="N6" s="194"/>
    </row>
    <row r="7" spans="1:16" s="22" customFormat="1" ht="36" customHeight="1">
      <c r="A7" s="14"/>
      <c r="B7" s="15" t="s">
        <v>90</v>
      </c>
      <c r="C7" s="68">
        <f>SUM(C8:C40)</f>
        <v>3982.8999999999996</v>
      </c>
      <c r="D7" s="17">
        <f>SUM(D8:D40)</f>
        <v>2481.1000000000004</v>
      </c>
      <c r="E7" s="17">
        <f>SUM(E8:E40)</f>
        <v>2192.6</v>
      </c>
      <c r="F7" s="17">
        <f aca="true" t="shared" si="0" ref="F7:F20">E7/D7*100</f>
        <v>88.37209302325579</v>
      </c>
      <c r="G7" s="17">
        <f>SUM(G8:G40)</f>
        <v>2605.1</v>
      </c>
      <c r="H7" s="17">
        <f>SUM(H8:H40)</f>
        <v>2168.6</v>
      </c>
      <c r="I7" s="17">
        <f aca="true" t="shared" si="1" ref="I7:I43">H7/G7*100</f>
        <v>83.24440520517446</v>
      </c>
      <c r="J7" s="68">
        <f>SUM(J8:J40)</f>
        <v>5086.2</v>
      </c>
      <c r="K7" s="68">
        <f>SUM(K8:K40)</f>
        <v>4361.2</v>
      </c>
      <c r="L7" s="17">
        <f aca="true" t="shared" si="2" ref="L7:L42">K7/J7*100</f>
        <v>85.74574338405883</v>
      </c>
      <c r="M7" s="68">
        <f>SUM(M8:M40)</f>
        <v>725.0000000000002</v>
      </c>
      <c r="N7" s="68">
        <f>SUM(N8:N40)</f>
        <v>4707.900000000001</v>
      </c>
      <c r="O7" s="19">
        <f>SUM(M8:M40)</f>
        <v>725.0000000000002</v>
      </c>
      <c r="P7" s="19">
        <f>SUM(N8:N40)</f>
        <v>4707.900000000001</v>
      </c>
    </row>
    <row r="8" spans="1:14" ht="24.75" customHeight="1">
      <c r="A8" s="23" t="s">
        <v>14</v>
      </c>
      <c r="B8" s="24" t="s">
        <v>92</v>
      </c>
      <c r="C8" s="73">
        <v>55.1</v>
      </c>
      <c r="D8" s="26">
        <v>181.1</v>
      </c>
      <c r="E8" s="26">
        <v>164.6</v>
      </c>
      <c r="F8" s="17">
        <f t="shared" si="0"/>
        <v>90.88901159580342</v>
      </c>
      <c r="G8" s="26">
        <v>170.5</v>
      </c>
      <c r="H8" s="26">
        <v>164.3</v>
      </c>
      <c r="I8" s="17">
        <f t="shared" si="1"/>
        <v>96.36363636363637</v>
      </c>
      <c r="J8" s="28">
        <f>D8+G8</f>
        <v>351.6</v>
      </c>
      <c r="K8" s="28">
        <f>E8+H8</f>
        <v>328.9</v>
      </c>
      <c r="L8" s="17">
        <f t="shared" si="2"/>
        <v>93.5437997724687</v>
      </c>
      <c r="M8" s="28">
        <f>J8-K8</f>
        <v>22.700000000000045</v>
      </c>
      <c r="N8" s="45">
        <f>C8+J8-K8</f>
        <v>77.80000000000007</v>
      </c>
    </row>
    <row r="9" spans="1:14" ht="24.75" customHeight="1">
      <c r="A9" s="23" t="s">
        <v>15</v>
      </c>
      <c r="B9" s="24" t="s">
        <v>93</v>
      </c>
      <c r="C9" s="93">
        <v>5.2</v>
      </c>
      <c r="D9" s="26">
        <v>10.3</v>
      </c>
      <c r="E9" s="26">
        <v>6.8</v>
      </c>
      <c r="F9" s="17">
        <f t="shared" si="0"/>
        <v>66.01941747572815</v>
      </c>
      <c r="G9" s="26">
        <v>10.8</v>
      </c>
      <c r="H9" s="26">
        <v>9.4</v>
      </c>
      <c r="I9" s="17">
        <f t="shared" si="1"/>
        <v>87.03703703703704</v>
      </c>
      <c r="J9" s="28">
        <f aca="true" t="shared" si="3" ref="J9:K28">D9+G9</f>
        <v>21.1</v>
      </c>
      <c r="K9" s="28">
        <f t="shared" si="3"/>
        <v>16.2</v>
      </c>
      <c r="L9" s="17">
        <f t="shared" si="2"/>
        <v>76.77725118483411</v>
      </c>
      <c r="M9" s="28">
        <f aca="true" t="shared" si="4" ref="M9:M28">J9-K9</f>
        <v>4.900000000000002</v>
      </c>
      <c r="N9" s="45">
        <f aca="true" t="shared" si="5" ref="N9:N28">C9+J9-K9</f>
        <v>10.100000000000001</v>
      </c>
    </row>
    <row r="10" spans="1:14" ht="24.75" customHeight="1">
      <c r="A10" s="23" t="s">
        <v>16</v>
      </c>
      <c r="B10" s="32" t="s">
        <v>135</v>
      </c>
      <c r="C10" s="73">
        <v>0.5</v>
      </c>
      <c r="D10" s="26">
        <v>1</v>
      </c>
      <c r="E10" s="26">
        <v>1</v>
      </c>
      <c r="F10" s="17">
        <f t="shared" si="0"/>
        <v>100</v>
      </c>
      <c r="G10" s="26">
        <v>1</v>
      </c>
      <c r="H10" s="26">
        <v>0.9</v>
      </c>
      <c r="I10" s="17">
        <f t="shared" si="1"/>
        <v>90</v>
      </c>
      <c r="J10" s="28">
        <f t="shared" si="3"/>
        <v>2</v>
      </c>
      <c r="K10" s="28">
        <f t="shared" si="3"/>
        <v>1.9</v>
      </c>
      <c r="L10" s="17">
        <f t="shared" si="2"/>
        <v>95</v>
      </c>
      <c r="M10" s="28">
        <f t="shared" si="4"/>
        <v>0.10000000000000009</v>
      </c>
      <c r="N10" s="45">
        <f t="shared" si="5"/>
        <v>0.6000000000000001</v>
      </c>
    </row>
    <row r="11" spans="1:14" ht="24.75" customHeight="1">
      <c r="A11" s="23" t="s">
        <v>17</v>
      </c>
      <c r="B11" s="24" t="s">
        <v>94</v>
      </c>
      <c r="C11" s="73">
        <v>7.1</v>
      </c>
      <c r="D11" s="26">
        <v>68.3</v>
      </c>
      <c r="E11" s="26">
        <v>91</v>
      </c>
      <c r="F11" s="17">
        <f t="shared" si="0"/>
        <v>133.23572474377744</v>
      </c>
      <c r="G11" s="26">
        <v>103.2</v>
      </c>
      <c r="H11" s="26">
        <v>48.4</v>
      </c>
      <c r="I11" s="17">
        <f>H11/G11*100</f>
        <v>46.89922480620155</v>
      </c>
      <c r="J11" s="28">
        <f t="shared" si="3"/>
        <v>171.5</v>
      </c>
      <c r="K11" s="28">
        <f t="shared" si="3"/>
        <v>139.4</v>
      </c>
      <c r="L11" s="17">
        <f t="shared" si="2"/>
        <v>81.28279883381924</v>
      </c>
      <c r="M11" s="28">
        <f t="shared" si="4"/>
        <v>32.099999999999994</v>
      </c>
      <c r="N11" s="45">
        <f t="shared" si="5"/>
        <v>39.19999999999999</v>
      </c>
    </row>
    <row r="12" spans="1:14" ht="24.75" customHeight="1">
      <c r="A12" s="23" t="s">
        <v>18</v>
      </c>
      <c r="B12" s="24" t="s">
        <v>95</v>
      </c>
      <c r="C12" s="73">
        <v>35.3</v>
      </c>
      <c r="D12" s="26">
        <v>13.9</v>
      </c>
      <c r="E12" s="26">
        <v>15.5</v>
      </c>
      <c r="F12" s="17">
        <f t="shared" si="0"/>
        <v>111.51079136690647</v>
      </c>
      <c r="G12" s="26">
        <v>18.1</v>
      </c>
      <c r="H12" s="26">
        <v>18</v>
      </c>
      <c r="I12" s="17">
        <f>H12/G12*100</f>
        <v>99.44751381215468</v>
      </c>
      <c r="J12" s="28">
        <f t="shared" si="3"/>
        <v>32</v>
      </c>
      <c r="K12" s="28">
        <f t="shared" si="3"/>
        <v>33.5</v>
      </c>
      <c r="L12" s="17">
        <f t="shared" si="2"/>
        <v>104.6875</v>
      </c>
      <c r="M12" s="28">
        <f t="shared" si="4"/>
        <v>-1.5</v>
      </c>
      <c r="N12" s="45">
        <f t="shared" si="5"/>
        <v>33.8</v>
      </c>
    </row>
    <row r="13" spans="1:14" ht="24.75" customHeight="1">
      <c r="A13" s="23" t="s">
        <v>19</v>
      </c>
      <c r="B13" s="24" t="s">
        <v>96</v>
      </c>
      <c r="C13" s="73">
        <v>37.1</v>
      </c>
      <c r="D13" s="26">
        <v>32.5</v>
      </c>
      <c r="E13" s="26">
        <v>25.2</v>
      </c>
      <c r="F13" s="17">
        <f t="shared" si="0"/>
        <v>77.53846153846153</v>
      </c>
      <c r="G13" s="26">
        <v>41.3</v>
      </c>
      <c r="H13" s="26">
        <v>44.4</v>
      </c>
      <c r="I13" s="69">
        <f t="shared" si="1"/>
        <v>107.50605326876514</v>
      </c>
      <c r="J13" s="28">
        <f t="shared" si="3"/>
        <v>73.8</v>
      </c>
      <c r="K13" s="28">
        <f t="shared" si="3"/>
        <v>69.6</v>
      </c>
      <c r="L13" s="17">
        <f t="shared" si="2"/>
        <v>94.30894308943088</v>
      </c>
      <c r="M13" s="28">
        <f t="shared" si="4"/>
        <v>4.200000000000003</v>
      </c>
      <c r="N13" s="45">
        <f t="shared" si="5"/>
        <v>41.30000000000001</v>
      </c>
    </row>
    <row r="14" spans="1:14" ht="24.75" customHeight="1">
      <c r="A14" s="23" t="s">
        <v>20</v>
      </c>
      <c r="B14" s="24" t="s">
        <v>97</v>
      </c>
      <c r="C14" s="73">
        <v>-0.3</v>
      </c>
      <c r="D14" s="26">
        <v>4.8</v>
      </c>
      <c r="E14" s="26">
        <v>3.8</v>
      </c>
      <c r="F14" s="17">
        <f t="shared" si="0"/>
        <v>79.16666666666666</v>
      </c>
      <c r="G14" s="26">
        <v>4.9</v>
      </c>
      <c r="H14" s="26">
        <v>6.1</v>
      </c>
      <c r="I14" s="17">
        <f t="shared" si="1"/>
        <v>124.48979591836734</v>
      </c>
      <c r="J14" s="28">
        <f t="shared" si="3"/>
        <v>9.7</v>
      </c>
      <c r="K14" s="28">
        <f t="shared" si="3"/>
        <v>9.899999999999999</v>
      </c>
      <c r="L14" s="17">
        <f t="shared" si="2"/>
        <v>102.06185567010309</v>
      </c>
      <c r="M14" s="28">
        <f t="shared" si="4"/>
        <v>-0.1999999999999993</v>
      </c>
      <c r="N14" s="45">
        <f t="shared" si="5"/>
        <v>-0.5</v>
      </c>
    </row>
    <row r="15" spans="1:14" ht="24.75" customHeight="1">
      <c r="A15" s="23" t="s">
        <v>21</v>
      </c>
      <c r="B15" s="24" t="s">
        <v>98</v>
      </c>
      <c r="C15" s="73">
        <v>106.6</v>
      </c>
      <c r="D15" s="26">
        <v>18.7</v>
      </c>
      <c r="E15" s="26">
        <v>26</v>
      </c>
      <c r="F15" s="17">
        <f t="shared" si="0"/>
        <v>139.0374331550802</v>
      </c>
      <c r="G15" s="26">
        <v>19.2</v>
      </c>
      <c r="H15" s="26">
        <v>73.6</v>
      </c>
      <c r="I15" s="69">
        <f t="shared" si="1"/>
        <v>383.3333333333333</v>
      </c>
      <c r="J15" s="28">
        <f t="shared" si="3"/>
        <v>37.9</v>
      </c>
      <c r="K15" s="28">
        <f t="shared" si="3"/>
        <v>99.6</v>
      </c>
      <c r="L15" s="17">
        <f t="shared" si="2"/>
        <v>262.79683377308703</v>
      </c>
      <c r="M15" s="28">
        <f t="shared" si="4"/>
        <v>-61.699999999999996</v>
      </c>
      <c r="N15" s="45">
        <f t="shared" si="5"/>
        <v>44.900000000000006</v>
      </c>
    </row>
    <row r="16" spans="1:14" ht="24.75" customHeight="1">
      <c r="A16" s="23" t="s">
        <v>22</v>
      </c>
      <c r="B16" s="24" t="s">
        <v>99</v>
      </c>
      <c r="C16" s="89">
        <v>1.3</v>
      </c>
      <c r="D16" s="26">
        <v>0.7</v>
      </c>
      <c r="E16" s="26">
        <v>0.2</v>
      </c>
      <c r="F16" s="17">
        <f t="shared" si="0"/>
        <v>28.571428571428577</v>
      </c>
      <c r="G16" s="26">
        <v>1.4</v>
      </c>
      <c r="H16" s="26">
        <v>0.9</v>
      </c>
      <c r="I16" s="17">
        <f t="shared" si="1"/>
        <v>64.28571428571429</v>
      </c>
      <c r="J16" s="28">
        <f t="shared" si="3"/>
        <v>2.0999999999999996</v>
      </c>
      <c r="K16" s="28">
        <f t="shared" si="3"/>
        <v>1.1</v>
      </c>
      <c r="L16" s="17">
        <f t="shared" si="2"/>
        <v>52.380952380952394</v>
      </c>
      <c r="M16" s="28">
        <f t="shared" si="4"/>
        <v>0.9999999999999996</v>
      </c>
      <c r="N16" s="45">
        <f t="shared" si="5"/>
        <v>2.2999999999999994</v>
      </c>
    </row>
    <row r="17" spans="1:14" ht="24.75" customHeight="1">
      <c r="A17" s="23" t="s">
        <v>23</v>
      </c>
      <c r="B17" s="32" t="s">
        <v>100</v>
      </c>
      <c r="C17" s="89">
        <f>9.6+1593.3</f>
        <v>1602.8999999999999</v>
      </c>
      <c r="D17" s="26">
        <f>14.6+148.5</f>
        <v>163.1</v>
      </c>
      <c r="E17" s="26">
        <f>12.3+118.8</f>
        <v>131.1</v>
      </c>
      <c r="F17" s="17">
        <f t="shared" si="0"/>
        <v>80.38013488657265</v>
      </c>
      <c r="G17" s="26">
        <f>9.6+147.9</f>
        <v>157.5</v>
      </c>
      <c r="H17" s="26">
        <f>5.8+109</f>
        <v>114.8</v>
      </c>
      <c r="I17" s="17">
        <f t="shared" si="1"/>
        <v>72.88888888888889</v>
      </c>
      <c r="J17" s="28">
        <f t="shared" si="3"/>
        <v>320.6</v>
      </c>
      <c r="K17" s="28">
        <f t="shared" si="3"/>
        <v>245.89999999999998</v>
      </c>
      <c r="L17" s="17">
        <f t="shared" si="2"/>
        <v>76.69993761696817</v>
      </c>
      <c r="M17" s="28">
        <f t="shared" si="4"/>
        <v>74.70000000000005</v>
      </c>
      <c r="N17" s="45">
        <f t="shared" si="5"/>
        <v>1677.6</v>
      </c>
    </row>
    <row r="18" spans="1:14" ht="24.75" customHeight="1">
      <c r="A18" s="23" t="s">
        <v>24</v>
      </c>
      <c r="B18" s="32" t="s">
        <v>101</v>
      </c>
      <c r="C18" s="73">
        <v>5.8</v>
      </c>
      <c r="D18" s="26">
        <v>10.4</v>
      </c>
      <c r="E18" s="26">
        <v>10.7</v>
      </c>
      <c r="F18" s="17">
        <f t="shared" si="0"/>
        <v>102.88461538461537</v>
      </c>
      <c r="G18" s="26">
        <v>9.7</v>
      </c>
      <c r="H18" s="26">
        <v>9.7</v>
      </c>
      <c r="I18" s="17">
        <f t="shared" si="1"/>
        <v>100</v>
      </c>
      <c r="J18" s="28">
        <f t="shared" si="3"/>
        <v>20.1</v>
      </c>
      <c r="K18" s="28">
        <f t="shared" si="3"/>
        <v>20.4</v>
      </c>
      <c r="L18" s="17">
        <f t="shared" si="2"/>
        <v>101.49253731343282</v>
      </c>
      <c r="M18" s="28">
        <f t="shared" si="4"/>
        <v>-0.29999999999999716</v>
      </c>
      <c r="N18" s="45">
        <f t="shared" si="5"/>
        <v>5.5000000000000036</v>
      </c>
    </row>
    <row r="19" spans="1:14" ht="24.75" customHeight="1">
      <c r="A19" s="23" t="s">
        <v>25</v>
      </c>
      <c r="B19" s="24" t="s">
        <v>102</v>
      </c>
      <c r="C19" s="73">
        <v>211.3</v>
      </c>
      <c r="D19" s="26">
        <v>169.4</v>
      </c>
      <c r="E19" s="26">
        <v>78.4</v>
      </c>
      <c r="F19" s="68">
        <f t="shared" si="0"/>
        <v>46.28099173553719</v>
      </c>
      <c r="G19" s="26">
        <v>178.6</v>
      </c>
      <c r="H19" s="26">
        <v>268.6</v>
      </c>
      <c r="I19" s="69">
        <f t="shared" si="1"/>
        <v>150.3919372900336</v>
      </c>
      <c r="J19" s="28">
        <f t="shared" si="3"/>
        <v>348</v>
      </c>
      <c r="K19" s="28">
        <f t="shared" si="3"/>
        <v>347</v>
      </c>
      <c r="L19" s="17">
        <f t="shared" si="2"/>
        <v>99.71264367816092</v>
      </c>
      <c r="M19" s="28">
        <f t="shared" si="4"/>
        <v>1</v>
      </c>
      <c r="N19" s="45">
        <f t="shared" si="5"/>
        <v>212.29999999999995</v>
      </c>
    </row>
    <row r="20" spans="1:14" ht="24.75" customHeight="1">
      <c r="A20" s="23" t="s">
        <v>26</v>
      </c>
      <c r="B20" s="32" t="s">
        <v>103</v>
      </c>
      <c r="C20" s="90">
        <v>3.1</v>
      </c>
      <c r="D20" s="26">
        <v>4.6</v>
      </c>
      <c r="E20" s="26">
        <v>5.6</v>
      </c>
      <c r="F20" s="179">
        <f t="shared" si="0"/>
        <v>121.73913043478262</v>
      </c>
      <c r="G20" s="26">
        <v>6</v>
      </c>
      <c r="H20" s="26">
        <v>4.6</v>
      </c>
      <c r="I20" s="69">
        <f t="shared" si="1"/>
        <v>76.66666666666666</v>
      </c>
      <c r="J20" s="28">
        <f t="shared" si="3"/>
        <v>10.6</v>
      </c>
      <c r="K20" s="28">
        <f t="shared" si="3"/>
        <v>10.2</v>
      </c>
      <c r="L20" s="17">
        <f t="shared" si="2"/>
        <v>96.22641509433963</v>
      </c>
      <c r="M20" s="28">
        <f t="shared" si="4"/>
        <v>0.40000000000000036</v>
      </c>
      <c r="N20" s="45">
        <f t="shared" si="5"/>
        <v>3.5</v>
      </c>
    </row>
    <row r="21" spans="1:14" ht="24.75" customHeight="1">
      <c r="A21" s="23" t="s">
        <v>27</v>
      </c>
      <c r="B21" s="35" t="s">
        <v>104</v>
      </c>
      <c r="C21" s="73"/>
      <c r="D21" s="26"/>
      <c r="E21" s="26"/>
      <c r="F21" s="45"/>
      <c r="G21" s="26"/>
      <c r="H21" s="26"/>
      <c r="I21" s="69"/>
      <c r="J21" s="28"/>
      <c r="K21" s="28"/>
      <c r="L21" s="17"/>
      <c r="M21" s="28"/>
      <c r="N21" s="45"/>
    </row>
    <row r="22" spans="1:14" ht="24.75" customHeight="1">
      <c r="A22" s="23" t="s">
        <v>28</v>
      </c>
      <c r="B22" s="32" t="s">
        <v>105</v>
      </c>
      <c r="C22" s="91">
        <v>3.3</v>
      </c>
      <c r="D22" s="26">
        <v>1.3</v>
      </c>
      <c r="E22" s="26">
        <v>1.3</v>
      </c>
      <c r="F22" s="189">
        <f aca="true" t="shared" si="6" ref="F22:F28">E22/D22*100</f>
        <v>100</v>
      </c>
      <c r="G22" s="26">
        <v>10.1</v>
      </c>
      <c r="H22" s="26">
        <v>6.1</v>
      </c>
      <c r="I22" s="69">
        <f t="shared" si="1"/>
        <v>60.396039603960396</v>
      </c>
      <c r="J22" s="28">
        <f t="shared" si="3"/>
        <v>11.4</v>
      </c>
      <c r="K22" s="28">
        <f t="shared" si="3"/>
        <v>7.3999999999999995</v>
      </c>
      <c r="L22" s="17">
        <f t="shared" si="2"/>
        <v>64.91228070175438</v>
      </c>
      <c r="M22" s="28">
        <f t="shared" si="4"/>
        <v>4.000000000000001</v>
      </c>
      <c r="N22" s="45">
        <f t="shared" si="5"/>
        <v>7.3</v>
      </c>
    </row>
    <row r="23" spans="1:14" ht="24.75" customHeight="1">
      <c r="A23" s="23" t="s">
        <v>29</v>
      </c>
      <c r="B23" s="32" t="s">
        <v>126</v>
      </c>
      <c r="C23" s="73">
        <v>7.9</v>
      </c>
      <c r="D23" s="26">
        <v>5.4</v>
      </c>
      <c r="E23" s="26">
        <v>8.4</v>
      </c>
      <c r="F23" s="180">
        <f t="shared" si="6"/>
        <v>155.55555555555557</v>
      </c>
      <c r="G23" s="26">
        <v>5.5</v>
      </c>
      <c r="H23" s="26">
        <v>4.6</v>
      </c>
      <c r="I23" s="17">
        <f t="shared" si="1"/>
        <v>83.63636363636363</v>
      </c>
      <c r="J23" s="28">
        <f t="shared" si="3"/>
        <v>10.9</v>
      </c>
      <c r="K23" s="28">
        <f t="shared" si="3"/>
        <v>13</v>
      </c>
      <c r="L23" s="17">
        <f t="shared" si="2"/>
        <v>119.26605504587155</v>
      </c>
      <c r="M23" s="28">
        <f t="shared" si="4"/>
        <v>-2.0999999999999996</v>
      </c>
      <c r="N23" s="45">
        <f t="shared" si="5"/>
        <v>5.800000000000001</v>
      </c>
    </row>
    <row r="24" spans="1:14" ht="24.75" customHeight="1">
      <c r="A24" s="23" t="s">
        <v>30</v>
      </c>
      <c r="B24" s="32" t="s">
        <v>106</v>
      </c>
      <c r="C24" s="73">
        <v>1.3</v>
      </c>
      <c r="D24" s="26">
        <v>121.4</v>
      </c>
      <c r="E24" s="26">
        <v>113.7</v>
      </c>
      <c r="F24" s="17">
        <f t="shared" si="6"/>
        <v>93.65733113673805</v>
      </c>
      <c r="G24" s="26">
        <v>108.8</v>
      </c>
      <c r="H24" s="26">
        <v>100.9</v>
      </c>
      <c r="I24" s="17">
        <f t="shared" si="1"/>
        <v>92.7389705882353</v>
      </c>
      <c r="J24" s="28">
        <f t="shared" si="3"/>
        <v>230.2</v>
      </c>
      <c r="K24" s="28">
        <f t="shared" si="3"/>
        <v>214.60000000000002</v>
      </c>
      <c r="L24" s="17">
        <f t="shared" si="2"/>
        <v>93.22328410078194</v>
      </c>
      <c r="M24" s="28">
        <f t="shared" si="4"/>
        <v>15.599999999999966</v>
      </c>
      <c r="N24" s="45">
        <f t="shared" si="5"/>
        <v>16.899999999999977</v>
      </c>
    </row>
    <row r="25" spans="1:14" ht="24.75" customHeight="1">
      <c r="A25" s="23" t="s">
        <v>31</v>
      </c>
      <c r="B25" s="24" t="s">
        <v>107</v>
      </c>
      <c r="C25" s="73">
        <v>17.7</v>
      </c>
      <c r="D25" s="26">
        <v>12.5</v>
      </c>
      <c r="E25" s="26">
        <v>14.6</v>
      </c>
      <c r="F25" s="17">
        <f t="shared" si="6"/>
        <v>116.8</v>
      </c>
      <c r="G25" s="26">
        <v>16.3</v>
      </c>
      <c r="H25" s="26">
        <v>13.6</v>
      </c>
      <c r="I25" s="17">
        <f t="shared" si="1"/>
        <v>83.43558282208589</v>
      </c>
      <c r="J25" s="28">
        <f t="shared" si="3"/>
        <v>28.8</v>
      </c>
      <c r="K25" s="28">
        <f t="shared" si="3"/>
        <v>28.2</v>
      </c>
      <c r="L25" s="17">
        <f t="shared" si="2"/>
        <v>97.91666666666666</v>
      </c>
      <c r="M25" s="28">
        <f t="shared" si="4"/>
        <v>0.6000000000000014</v>
      </c>
      <c r="N25" s="45">
        <f t="shared" si="5"/>
        <v>18.3</v>
      </c>
    </row>
    <row r="26" spans="1:14" ht="24.75" customHeight="1">
      <c r="A26" s="23" t="s">
        <v>32</v>
      </c>
      <c r="B26" s="32" t="s">
        <v>108</v>
      </c>
      <c r="C26" s="73">
        <v>0.7</v>
      </c>
      <c r="D26" s="26">
        <v>0.1</v>
      </c>
      <c r="E26" s="26">
        <v>0.1</v>
      </c>
      <c r="F26" s="17">
        <f t="shared" si="6"/>
        <v>100</v>
      </c>
      <c r="G26" s="26">
        <v>0</v>
      </c>
      <c r="H26" s="26">
        <v>0</v>
      </c>
      <c r="I26" s="17">
        <v>0</v>
      </c>
      <c r="J26" s="28">
        <f t="shared" si="3"/>
        <v>0.1</v>
      </c>
      <c r="K26" s="28">
        <f t="shared" si="3"/>
        <v>0.1</v>
      </c>
      <c r="L26" s="17">
        <f t="shared" si="2"/>
        <v>100</v>
      </c>
      <c r="M26" s="28">
        <f t="shared" si="4"/>
        <v>0</v>
      </c>
      <c r="N26" s="45">
        <f t="shared" si="5"/>
        <v>0.7</v>
      </c>
    </row>
    <row r="27" spans="1:14" ht="24.75" customHeight="1">
      <c r="A27" s="23" t="s">
        <v>33</v>
      </c>
      <c r="B27" s="32" t="s">
        <v>109</v>
      </c>
      <c r="C27" s="73">
        <v>0</v>
      </c>
      <c r="D27" s="26">
        <v>8.4</v>
      </c>
      <c r="E27" s="26">
        <v>8.4</v>
      </c>
      <c r="F27" s="17">
        <f t="shared" si="6"/>
        <v>100</v>
      </c>
      <c r="G27" s="26">
        <v>7.5</v>
      </c>
      <c r="H27" s="26">
        <v>7.5</v>
      </c>
      <c r="I27" s="187">
        <f t="shared" si="1"/>
        <v>100</v>
      </c>
      <c r="J27" s="28">
        <f t="shared" si="3"/>
        <v>15.9</v>
      </c>
      <c r="K27" s="28">
        <f t="shared" si="3"/>
        <v>15.9</v>
      </c>
      <c r="L27" s="17">
        <f t="shared" si="2"/>
        <v>100</v>
      </c>
      <c r="M27" s="28">
        <f t="shared" si="4"/>
        <v>0</v>
      </c>
      <c r="N27" s="45">
        <f t="shared" si="5"/>
        <v>0</v>
      </c>
    </row>
    <row r="28" spans="1:14" ht="24.75" customHeight="1">
      <c r="A28" s="23" t="s">
        <v>34</v>
      </c>
      <c r="B28" s="24" t="s">
        <v>110</v>
      </c>
      <c r="C28" s="90">
        <v>65.1</v>
      </c>
      <c r="D28" s="26">
        <v>60.3</v>
      </c>
      <c r="E28" s="26">
        <v>70.1</v>
      </c>
      <c r="F28" s="17">
        <f t="shared" si="6"/>
        <v>116.25207296849086</v>
      </c>
      <c r="G28" s="26">
        <v>44.5</v>
      </c>
      <c r="H28" s="26">
        <v>47</v>
      </c>
      <c r="I28" s="187">
        <f t="shared" si="1"/>
        <v>105.61797752808988</v>
      </c>
      <c r="J28" s="28">
        <f t="shared" si="3"/>
        <v>104.8</v>
      </c>
      <c r="K28" s="28">
        <f t="shared" si="3"/>
        <v>117.1</v>
      </c>
      <c r="L28" s="17">
        <f t="shared" si="2"/>
        <v>111.73664122137403</v>
      </c>
      <c r="M28" s="28">
        <f t="shared" si="4"/>
        <v>-12.299999999999997</v>
      </c>
      <c r="N28" s="45">
        <f t="shared" si="5"/>
        <v>52.79999999999998</v>
      </c>
    </row>
    <row r="29" spans="1:14" ht="24.75" customHeight="1">
      <c r="A29" s="23" t="s">
        <v>35</v>
      </c>
      <c r="B29" s="39" t="s">
        <v>111</v>
      </c>
      <c r="C29" s="219" t="s">
        <v>129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 ht="24.75" customHeight="1">
      <c r="A30" s="23" t="s">
        <v>36</v>
      </c>
      <c r="B30" s="32" t="s">
        <v>112</v>
      </c>
      <c r="C30" s="93">
        <v>0.9</v>
      </c>
      <c r="D30" s="26">
        <v>22.4</v>
      </c>
      <c r="E30" s="26">
        <v>18.5</v>
      </c>
      <c r="F30" s="180">
        <f>E30/D30*100</f>
        <v>82.58928571428572</v>
      </c>
      <c r="G30" s="26">
        <v>31</v>
      </c>
      <c r="H30" s="26">
        <v>28.2</v>
      </c>
      <c r="I30" s="69">
        <f t="shared" si="1"/>
        <v>90.96774193548387</v>
      </c>
      <c r="J30" s="28">
        <f aca="true" t="shared" si="7" ref="J30:K40">D30+G30</f>
        <v>53.4</v>
      </c>
      <c r="K30" s="28">
        <f t="shared" si="7"/>
        <v>46.7</v>
      </c>
      <c r="L30" s="17">
        <f t="shared" si="2"/>
        <v>87.45318352059925</v>
      </c>
      <c r="M30" s="28">
        <f aca="true" t="shared" si="8" ref="M30:M42">J30-K30</f>
        <v>6.699999999999996</v>
      </c>
      <c r="N30" s="45">
        <f aca="true" t="shared" si="9" ref="N30:N40">C30+J30-K30</f>
        <v>7.599999999999994</v>
      </c>
    </row>
    <row r="31" spans="1:14" ht="24.75" customHeight="1">
      <c r="A31" s="23" t="s">
        <v>37</v>
      </c>
      <c r="B31" s="32" t="s">
        <v>113</v>
      </c>
      <c r="C31" s="73">
        <v>2.1</v>
      </c>
      <c r="D31" s="26">
        <v>7.1</v>
      </c>
      <c r="E31" s="26">
        <v>6.9</v>
      </c>
      <c r="F31" s="17">
        <f>E31/D31*100</f>
        <v>97.18309859154931</v>
      </c>
      <c r="G31" s="26">
        <v>8</v>
      </c>
      <c r="H31" s="26">
        <v>6.3</v>
      </c>
      <c r="I31" s="17">
        <f t="shared" si="1"/>
        <v>78.75</v>
      </c>
      <c r="J31" s="28">
        <f t="shared" si="7"/>
        <v>15.1</v>
      </c>
      <c r="K31" s="28">
        <f t="shared" si="7"/>
        <v>13.2</v>
      </c>
      <c r="L31" s="17">
        <f t="shared" si="2"/>
        <v>87.41721854304636</v>
      </c>
      <c r="M31" s="28">
        <f t="shared" si="8"/>
        <v>1.9000000000000004</v>
      </c>
      <c r="N31" s="45">
        <f t="shared" si="9"/>
        <v>4</v>
      </c>
    </row>
    <row r="32" spans="1:14" ht="24.75" customHeight="1">
      <c r="A32" s="23" t="s">
        <v>38</v>
      </c>
      <c r="B32" s="32" t="s">
        <v>114</v>
      </c>
      <c r="C32" s="73">
        <v>377.8</v>
      </c>
      <c r="D32" s="38">
        <v>67.9</v>
      </c>
      <c r="E32" s="38">
        <v>55.1</v>
      </c>
      <c r="F32" s="68">
        <f>E32/D32*100</f>
        <v>81.14874815905743</v>
      </c>
      <c r="G32" s="26">
        <v>259.9</v>
      </c>
      <c r="H32" s="26">
        <v>62</v>
      </c>
      <c r="I32" s="17">
        <f t="shared" si="1"/>
        <v>23.855328972681804</v>
      </c>
      <c r="J32" s="28">
        <f t="shared" si="7"/>
        <v>327.79999999999995</v>
      </c>
      <c r="K32" s="28">
        <f t="shared" si="7"/>
        <v>117.1</v>
      </c>
      <c r="L32" s="17">
        <f t="shared" si="2"/>
        <v>35.72300183038438</v>
      </c>
      <c r="M32" s="28">
        <f t="shared" si="8"/>
        <v>210.69999999999996</v>
      </c>
      <c r="N32" s="45">
        <f t="shared" si="9"/>
        <v>588.4999999999999</v>
      </c>
    </row>
    <row r="33" spans="1:14" ht="24.75" customHeight="1">
      <c r="A33" s="23" t="s">
        <v>39</v>
      </c>
      <c r="B33" s="32" t="s">
        <v>115</v>
      </c>
      <c r="C33" s="78">
        <v>176</v>
      </c>
      <c r="D33" s="42">
        <v>151</v>
      </c>
      <c r="E33" s="42">
        <v>140.4</v>
      </c>
      <c r="F33" s="17">
        <f>E33/D33*100</f>
        <v>92.98013245033113</v>
      </c>
      <c r="G33" s="26">
        <v>193.6</v>
      </c>
      <c r="H33" s="26">
        <v>88.9</v>
      </c>
      <c r="I33" s="17">
        <f t="shared" si="1"/>
        <v>45.919421487603316</v>
      </c>
      <c r="J33" s="28">
        <f t="shared" si="7"/>
        <v>344.6</v>
      </c>
      <c r="K33" s="28">
        <f t="shared" si="7"/>
        <v>229.3</v>
      </c>
      <c r="L33" s="17">
        <f t="shared" si="2"/>
        <v>66.54091700522345</v>
      </c>
      <c r="M33" s="28">
        <f t="shared" si="8"/>
        <v>115.30000000000001</v>
      </c>
      <c r="N33" s="45">
        <f t="shared" si="9"/>
        <v>291.3</v>
      </c>
    </row>
    <row r="34" spans="1:14" ht="24.75" customHeight="1">
      <c r="A34" s="23" t="s">
        <v>40</v>
      </c>
      <c r="B34" s="24" t="s">
        <v>116</v>
      </c>
      <c r="C34" s="89">
        <v>8.7</v>
      </c>
      <c r="D34" s="37">
        <v>4.3</v>
      </c>
      <c r="E34" s="37">
        <v>4</v>
      </c>
      <c r="F34" s="17">
        <f aca="true" t="shared" si="10" ref="F34:F42">E34/D34*100</f>
        <v>93.02325581395348</v>
      </c>
      <c r="G34" s="26">
        <v>3.9</v>
      </c>
      <c r="H34" s="26">
        <v>7.1</v>
      </c>
      <c r="I34" s="69">
        <f t="shared" si="1"/>
        <v>182.05128205128204</v>
      </c>
      <c r="J34" s="28">
        <f t="shared" si="7"/>
        <v>8.2</v>
      </c>
      <c r="K34" s="28">
        <f t="shared" si="7"/>
        <v>11.1</v>
      </c>
      <c r="L34" s="17">
        <f t="shared" si="2"/>
        <v>135.3658536585366</v>
      </c>
      <c r="M34" s="28">
        <f t="shared" si="8"/>
        <v>-2.9000000000000004</v>
      </c>
      <c r="N34" s="45">
        <f t="shared" si="9"/>
        <v>5.799999999999999</v>
      </c>
    </row>
    <row r="35" spans="1:14" ht="24.75" customHeight="1">
      <c r="A35" s="23" t="s">
        <v>41</v>
      </c>
      <c r="B35" s="32" t="s">
        <v>117</v>
      </c>
      <c r="C35" s="73">
        <v>107.9</v>
      </c>
      <c r="D35" s="26">
        <v>161</v>
      </c>
      <c r="E35" s="26">
        <v>166</v>
      </c>
      <c r="F35" s="17">
        <f t="shared" si="10"/>
        <v>103.1055900621118</v>
      </c>
      <c r="G35" s="26">
        <v>138.9</v>
      </c>
      <c r="H35" s="26">
        <v>101.6</v>
      </c>
      <c r="I35" s="17">
        <f t="shared" si="1"/>
        <v>73.14614830813534</v>
      </c>
      <c r="J35" s="28">
        <f t="shared" si="7"/>
        <v>299.9</v>
      </c>
      <c r="K35" s="28">
        <f t="shared" si="7"/>
        <v>267.6</v>
      </c>
      <c r="L35" s="17">
        <f t="shared" si="2"/>
        <v>89.22974324774925</v>
      </c>
      <c r="M35" s="28">
        <f t="shared" si="8"/>
        <v>32.299999999999955</v>
      </c>
      <c r="N35" s="45">
        <f t="shared" si="9"/>
        <v>140.19999999999993</v>
      </c>
    </row>
    <row r="36" spans="1:14" ht="24.75" customHeight="1">
      <c r="A36" s="23" t="s">
        <v>42</v>
      </c>
      <c r="B36" s="32" t="s">
        <v>118</v>
      </c>
      <c r="C36" s="73">
        <f>465.9+4.9</f>
        <v>470.79999999999995</v>
      </c>
      <c r="D36" s="26">
        <f>614.7+1.9</f>
        <v>616.6</v>
      </c>
      <c r="E36" s="26">
        <f>408.9+2.8</f>
        <v>411.7</v>
      </c>
      <c r="F36" s="17">
        <f t="shared" si="10"/>
        <v>66.76938047356471</v>
      </c>
      <c r="G36" s="26">
        <f>542.5+1.9</f>
        <v>544.4</v>
      </c>
      <c r="H36" s="26">
        <f>456.7+1.4</f>
        <v>458.09999999999997</v>
      </c>
      <c r="I36" s="17">
        <f t="shared" si="1"/>
        <v>84.147685525349</v>
      </c>
      <c r="J36" s="28">
        <f t="shared" si="7"/>
        <v>1161</v>
      </c>
      <c r="K36" s="28">
        <f t="shared" si="7"/>
        <v>869.8</v>
      </c>
      <c r="L36" s="17">
        <f t="shared" si="2"/>
        <v>74.91817398794143</v>
      </c>
      <c r="M36" s="28">
        <f t="shared" si="8"/>
        <v>291.20000000000005</v>
      </c>
      <c r="N36" s="45">
        <f t="shared" si="9"/>
        <v>762</v>
      </c>
    </row>
    <row r="37" spans="1:14" ht="24.75" customHeight="1">
      <c r="A37" s="23" t="s">
        <v>43</v>
      </c>
      <c r="B37" s="32" t="s">
        <v>119</v>
      </c>
      <c r="C37" s="73">
        <v>315</v>
      </c>
      <c r="D37" s="26">
        <v>175.1</v>
      </c>
      <c r="E37" s="26">
        <v>204.7</v>
      </c>
      <c r="F37" s="17">
        <f t="shared" si="10"/>
        <v>116.90462592804111</v>
      </c>
      <c r="G37" s="26">
        <v>166.4</v>
      </c>
      <c r="H37" s="26">
        <v>181.6</v>
      </c>
      <c r="I37" s="17">
        <f t="shared" si="1"/>
        <v>109.13461538461537</v>
      </c>
      <c r="J37" s="28">
        <f t="shared" si="7"/>
        <v>341.5</v>
      </c>
      <c r="K37" s="28">
        <f t="shared" si="7"/>
        <v>386.29999999999995</v>
      </c>
      <c r="L37" s="17">
        <f t="shared" si="2"/>
        <v>113.11859443631039</v>
      </c>
      <c r="M37" s="28">
        <f t="shared" si="8"/>
        <v>-44.799999999999955</v>
      </c>
      <c r="N37" s="45">
        <f t="shared" si="9"/>
        <v>270.20000000000005</v>
      </c>
    </row>
    <row r="38" spans="1:14" ht="24.75" customHeight="1">
      <c r="A38" s="23" t="s">
        <v>44</v>
      </c>
      <c r="B38" s="32" t="s">
        <v>127</v>
      </c>
      <c r="C38" s="73">
        <v>181</v>
      </c>
      <c r="D38" s="26">
        <v>210.8</v>
      </c>
      <c r="E38" s="26">
        <v>227.6</v>
      </c>
      <c r="F38" s="17">
        <f t="shared" si="10"/>
        <v>107.96963946869069</v>
      </c>
      <c r="G38" s="26">
        <v>170.4</v>
      </c>
      <c r="H38" s="26">
        <v>159.8</v>
      </c>
      <c r="I38" s="17">
        <f t="shared" si="1"/>
        <v>93.7793427230047</v>
      </c>
      <c r="J38" s="28">
        <f t="shared" si="7"/>
        <v>381.20000000000005</v>
      </c>
      <c r="K38" s="28">
        <f t="shared" si="7"/>
        <v>387.4</v>
      </c>
      <c r="L38" s="17">
        <f t="shared" si="2"/>
        <v>101.62644281217209</v>
      </c>
      <c r="M38" s="28">
        <f t="shared" si="8"/>
        <v>-6.199999999999932</v>
      </c>
      <c r="N38" s="45">
        <f t="shared" si="9"/>
        <v>174.80000000000007</v>
      </c>
    </row>
    <row r="39" spans="1:14" ht="24.75" customHeight="1">
      <c r="A39" s="23" t="s">
        <v>45</v>
      </c>
      <c r="B39" s="24" t="s">
        <v>128</v>
      </c>
      <c r="C39" s="89">
        <v>39.1</v>
      </c>
      <c r="D39" s="26">
        <v>73.8</v>
      </c>
      <c r="E39" s="26">
        <v>65</v>
      </c>
      <c r="F39" s="17">
        <f t="shared" si="10"/>
        <v>88.07588075880759</v>
      </c>
      <c r="G39" s="26">
        <v>69.7</v>
      </c>
      <c r="H39" s="26">
        <v>32.3</v>
      </c>
      <c r="I39" s="69">
        <f t="shared" si="1"/>
        <v>46.34146341463414</v>
      </c>
      <c r="J39" s="28">
        <f t="shared" si="7"/>
        <v>143.5</v>
      </c>
      <c r="K39" s="28">
        <f t="shared" si="7"/>
        <v>97.3</v>
      </c>
      <c r="L39" s="17">
        <f t="shared" si="2"/>
        <v>67.80487804878048</v>
      </c>
      <c r="M39" s="28">
        <f t="shared" si="8"/>
        <v>46.2</v>
      </c>
      <c r="N39" s="45">
        <f t="shared" si="9"/>
        <v>85.3</v>
      </c>
    </row>
    <row r="40" spans="1:14" ht="24.75" customHeight="1">
      <c r="A40" s="23" t="s">
        <v>46</v>
      </c>
      <c r="B40" s="32" t="s">
        <v>120</v>
      </c>
      <c r="C40" s="73">
        <v>136.6</v>
      </c>
      <c r="D40" s="26">
        <v>102.9</v>
      </c>
      <c r="E40" s="26">
        <v>116.2</v>
      </c>
      <c r="F40" s="17">
        <f t="shared" si="10"/>
        <v>112.9251700680272</v>
      </c>
      <c r="G40" s="26">
        <v>104</v>
      </c>
      <c r="H40" s="26">
        <v>99.3</v>
      </c>
      <c r="I40" s="69">
        <f t="shared" si="1"/>
        <v>95.48076923076923</v>
      </c>
      <c r="J40" s="28">
        <f t="shared" si="7"/>
        <v>206.9</v>
      </c>
      <c r="K40" s="28">
        <f t="shared" si="7"/>
        <v>215.5</v>
      </c>
      <c r="L40" s="17">
        <f t="shared" si="2"/>
        <v>104.1565973900435</v>
      </c>
      <c r="M40" s="28">
        <f t="shared" si="8"/>
        <v>-8.599999999999994</v>
      </c>
      <c r="N40" s="45">
        <f t="shared" si="9"/>
        <v>128</v>
      </c>
    </row>
    <row r="41" spans="1:14" s="22" customFormat="1" ht="24.75" customHeight="1">
      <c r="A41" s="23" t="s">
        <v>47</v>
      </c>
      <c r="B41" s="43" t="s">
        <v>121</v>
      </c>
      <c r="C41" s="79">
        <f>SUM(C42:C42)</f>
        <v>393869.4</v>
      </c>
      <c r="D41" s="45">
        <f>SUM(D42:D42)</f>
        <v>31469</v>
      </c>
      <c r="E41" s="45">
        <f>SUM(E42:E42)</f>
        <v>14311.1</v>
      </c>
      <c r="F41" s="17">
        <f t="shared" si="10"/>
        <v>45.47681845625854</v>
      </c>
      <c r="G41" s="45">
        <f>SUM(G42:G42)</f>
        <v>29817.9</v>
      </c>
      <c r="H41" s="45">
        <f>SUM(H42:H42)</f>
        <v>11600.3</v>
      </c>
      <c r="I41" s="17">
        <f t="shared" si="1"/>
        <v>38.90381281042595</v>
      </c>
      <c r="J41" s="45">
        <f>SUM(J42:J42)</f>
        <v>61286.9</v>
      </c>
      <c r="K41" s="45">
        <f>SUM(K42:K42)</f>
        <v>25911.4</v>
      </c>
      <c r="L41" s="17">
        <f t="shared" si="2"/>
        <v>42.278855677151235</v>
      </c>
      <c r="M41" s="45">
        <f>SUM(M42:M42)</f>
        <v>35375.5</v>
      </c>
      <c r="N41" s="45">
        <f>SUM(N42:N42)</f>
        <v>429244.9</v>
      </c>
    </row>
    <row r="42" spans="1:14" s="22" customFormat="1" ht="21.75" customHeight="1">
      <c r="A42" s="23"/>
      <c r="B42" s="24" t="s">
        <v>122</v>
      </c>
      <c r="C42" s="73">
        <v>393869.4</v>
      </c>
      <c r="D42" s="26">
        <v>31469</v>
      </c>
      <c r="E42" s="26">
        <v>14311.1</v>
      </c>
      <c r="F42" s="17">
        <f t="shared" si="10"/>
        <v>45.47681845625854</v>
      </c>
      <c r="G42" s="26">
        <v>29817.9</v>
      </c>
      <c r="H42" s="26">
        <v>11600.3</v>
      </c>
      <c r="I42" s="17">
        <f t="shared" si="1"/>
        <v>38.90381281042595</v>
      </c>
      <c r="J42" s="28">
        <f>D42+G42</f>
        <v>61286.9</v>
      </c>
      <c r="K42" s="28">
        <f>E42+H42</f>
        <v>25911.4</v>
      </c>
      <c r="L42" s="17">
        <f t="shared" si="2"/>
        <v>42.278855677151235</v>
      </c>
      <c r="M42" s="28">
        <f t="shared" si="8"/>
        <v>35375.5</v>
      </c>
      <c r="N42" s="45">
        <f>C42+J42-K42</f>
        <v>429244.9</v>
      </c>
    </row>
    <row r="43" spans="1:14" ht="30" customHeight="1">
      <c r="A43" s="23"/>
      <c r="B43" s="43" t="s">
        <v>123</v>
      </c>
      <c r="C43" s="79">
        <f>C41+C7</f>
        <v>397852.30000000005</v>
      </c>
      <c r="D43" s="45">
        <f>D41+D7</f>
        <v>33950.1</v>
      </c>
      <c r="E43" s="45">
        <f>E41+E7</f>
        <v>16503.7</v>
      </c>
      <c r="F43" s="17">
        <f>E43/D43*100</f>
        <v>48.61163884642461</v>
      </c>
      <c r="G43" s="45">
        <f>G7+G41</f>
        <v>32423</v>
      </c>
      <c r="H43" s="45">
        <f>H7+H41</f>
        <v>13768.9</v>
      </c>
      <c r="I43" s="17">
        <f t="shared" si="1"/>
        <v>42.46645899515776</v>
      </c>
      <c r="J43" s="79">
        <f>J7+J41</f>
        <v>66373.1</v>
      </c>
      <c r="K43" s="79">
        <f>K7+K41</f>
        <v>30272.600000000002</v>
      </c>
      <c r="L43" s="17">
        <f>K43/J43*100</f>
        <v>45.60974250110361</v>
      </c>
      <c r="M43" s="45">
        <f>M7+M41</f>
        <v>36100.5</v>
      </c>
      <c r="N43" s="45">
        <f>N7+N41</f>
        <v>433952.80000000005</v>
      </c>
    </row>
    <row r="44" spans="1:26" ht="27.75" customHeight="1">
      <c r="A44" s="48"/>
      <c r="B44" s="49"/>
      <c r="C44" s="50"/>
      <c r="D44" s="46"/>
      <c r="E44" s="46"/>
      <c r="F44" s="20"/>
      <c r="G44" s="46"/>
      <c r="H44" s="46"/>
      <c r="I44" s="20"/>
      <c r="J44" s="52"/>
      <c r="K44" s="52"/>
      <c r="L44" s="20"/>
      <c r="M44" s="20"/>
      <c r="N44" s="46"/>
      <c r="O44" s="46"/>
      <c r="P44" s="46"/>
      <c r="Q44" s="46"/>
      <c r="R44" s="46"/>
      <c r="S44" s="46"/>
      <c r="T44" s="46"/>
      <c r="U44" s="46"/>
      <c r="V44" s="46"/>
      <c r="W44" s="13"/>
      <c r="X44" s="13"/>
      <c r="Y44" s="13"/>
      <c r="Z44" s="13"/>
    </row>
    <row r="45" spans="1:26" s="22" customFormat="1" ht="19.5" customHeight="1" hidden="1">
      <c r="A45" s="51"/>
      <c r="B45" s="22" t="s">
        <v>124</v>
      </c>
      <c r="C45" s="52"/>
      <c r="D45" s="19"/>
      <c r="E45" s="19"/>
      <c r="F45" s="53"/>
      <c r="G45" s="2"/>
      <c r="H45" s="2"/>
      <c r="I45" s="185"/>
      <c r="J45" s="2"/>
      <c r="K45" s="2"/>
      <c r="L45" s="185"/>
      <c r="M45" s="223" t="s">
        <v>139</v>
      </c>
      <c r="N45" s="224"/>
      <c r="O45" s="53"/>
      <c r="P45" s="53"/>
      <c r="Q45" s="53"/>
      <c r="R45" s="53"/>
      <c r="S45" s="53"/>
      <c r="T45" s="19"/>
      <c r="U45" s="54"/>
      <c r="V45" s="54"/>
      <c r="W45" s="55"/>
      <c r="X45" s="54"/>
      <c r="Z45" s="54"/>
    </row>
    <row r="46" spans="1:26" s="22" customFormat="1" ht="7.5" customHeight="1" hidden="1">
      <c r="A46" s="21"/>
      <c r="C46" s="52"/>
      <c r="D46" s="19"/>
      <c r="E46" s="19"/>
      <c r="F46" s="53"/>
      <c r="G46" s="60"/>
      <c r="H46" s="60"/>
      <c r="I46" s="61"/>
      <c r="J46" s="60"/>
      <c r="K46" s="60"/>
      <c r="L46" s="61"/>
      <c r="M46" s="6"/>
      <c r="N46" s="62" t="s">
        <v>137</v>
      </c>
      <c r="O46" s="53"/>
      <c r="P46" s="53"/>
      <c r="Q46" s="53"/>
      <c r="R46" s="53"/>
      <c r="S46" s="53"/>
      <c r="T46" s="19"/>
      <c r="U46" s="54"/>
      <c r="V46" s="54"/>
      <c r="W46" s="55"/>
      <c r="X46" s="54"/>
      <c r="Z46" s="54"/>
    </row>
    <row r="47" spans="1:26" s="22" customFormat="1" ht="19.5" customHeight="1" hidden="1">
      <c r="A47" s="51"/>
      <c r="B47" s="22" t="s">
        <v>125</v>
      </c>
      <c r="C47" s="52"/>
      <c r="D47" s="19"/>
      <c r="E47" s="19"/>
      <c r="F47" s="53"/>
      <c r="G47" s="6"/>
      <c r="I47" s="22" t="s">
        <v>54</v>
      </c>
      <c r="N47" s="6"/>
      <c r="O47" s="53"/>
      <c r="P47" s="53"/>
      <c r="Q47" s="53"/>
      <c r="R47" s="53"/>
      <c r="S47" s="53"/>
      <c r="T47" s="19"/>
      <c r="U47" s="54"/>
      <c r="V47" s="54"/>
      <c r="W47" s="55"/>
      <c r="X47" s="54"/>
      <c r="Z47" s="54"/>
    </row>
    <row r="48" spans="1:26" ht="24.75" customHeight="1">
      <c r="A48" s="6"/>
      <c r="C48" s="56"/>
      <c r="D48" s="57"/>
      <c r="E48" s="57"/>
      <c r="F48" s="53"/>
      <c r="O48" s="101"/>
      <c r="P48" s="57"/>
      <c r="Q48" s="57"/>
      <c r="R48" s="57"/>
      <c r="S48" s="57"/>
      <c r="T48" s="57"/>
      <c r="U48" s="8"/>
      <c r="V48" s="8"/>
      <c r="W48" s="58"/>
      <c r="X48" s="8"/>
      <c r="Z48" s="8"/>
    </row>
    <row r="49" spans="1:15" s="3" customFormat="1" ht="46.5" customHeight="1">
      <c r="A49" s="1"/>
      <c r="B49" s="213" t="s">
        <v>140</v>
      </c>
      <c r="C49" s="213"/>
      <c r="D49" s="213"/>
      <c r="E49" s="213"/>
      <c r="F49" s="213"/>
      <c r="G49" s="6"/>
      <c r="H49" s="6"/>
      <c r="I49" s="22"/>
      <c r="J49" s="6"/>
      <c r="K49" s="6"/>
      <c r="L49" s="22"/>
      <c r="M49" s="6"/>
      <c r="N49" s="6"/>
      <c r="O49" s="102"/>
    </row>
    <row r="50" spans="1:14" ht="73.5" customHeight="1" hidden="1">
      <c r="A50" s="214" t="s">
        <v>136</v>
      </c>
      <c r="B50" s="214"/>
      <c r="C50" s="59"/>
      <c r="D50" s="59"/>
      <c r="E50" s="59"/>
      <c r="F50" s="59"/>
      <c r="G50" s="57"/>
      <c r="H50" s="57"/>
      <c r="I50" s="184"/>
      <c r="J50" s="57"/>
      <c r="K50" s="57"/>
      <c r="L50" s="184"/>
      <c r="M50" s="57"/>
      <c r="N50" s="57"/>
    </row>
    <row r="51" spans="2:14" ht="18.75">
      <c r="B51" s="96"/>
      <c r="G51" s="57"/>
      <c r="H51" s="57"/>
      <c r="I51" s="184"/>
      <c r="J51" s="57"/>
      <c r="K51" s="57"/>
      <c r="L51" s="184"/>
      <c r="M51" s="57"/>
      <c r="N51" s="57"/>
    </row>
    <row r="52" spans="7:14" ht="18.75">
      <c r="G52" s="57"/>
      <c r="H52" s="57"/>
      <c r="I52" s="184"/>
      <c r="J52" s="57"/>
      <c r="K52" s="57"/>
      <c r="L52" s="184"/>
      <c r="M52" s="57"/>
      <c r="N52" s="57"/>
    </row>
    <row r="53" spans="2:14" ht="18.75">
      <c r="B53" s="96"/>
      <c r="G53" s="57"/>
      <c r="H53" s="57"/>
      <c r="I53" s="184"/>
      <c r="J53" s="57"/>
      <c r="K53" s="57"/>
      <c r="L53" s="184"/>
      <c r="M53" s="57"/>
      <c r="N53" s="57"/>
    </row>
    <row r="54" spans="2:14" ht="18.75">
      <c r="B54" s="96"/>
      <c r="G54" s="57"/>
      <c r="H54" s="57"/>
      <c r="I54" s="184"/>
      <c r="J54" s="57"/>
      <c r="K54" s="57"/>
      <c r="L54" s="184"/>
      <c r="M54" s="57"/>
      <c r="N54" s="57"/>
    </row>
    <row r="55" spans="2:14" ht="18.75">
      <c r="B55" s="96"/>
      <c r="G55" s="57"/>
      <c r="H55" s="57"/>
      <c r="I55" s="184"/>
      <c r="J55" s="57"/>
      <c r="K55" s="57"/>
      <c r="L55" s="184"/>
      <c r="M55" s="57"/>
      <c r="N55" s="57"/>
    </row>
    <row r="56" spans="2:14" ht="18.75">
      <c r="B56" s="96"/>
      <c r="G56" s="57"/>
      <c r="H56" s="57"/>
      <c r="I56" s="184"/>
      <c r="J56" s="57"/>
      <c r="K56" s="57"/>
      <c r="L56" s="184"/>
      <c r="M56" s="57"/>
      <c r="N56" s="57"/>
    </row>
    <row r="57" spans="2:14" ht="18.75">
      <c r="B57" s="96"/>
      <c r="G57" s="57"/>
      <c r="H57" s="57"/>
      <c r="I57" s="184"/>
      <c r="J57" s="57"/>
      <c r="K57" s="57"/>
      <c r="L57" s="184"/>
      <c r="M57" s="57"/>
      <c r="N57" s="57"/>
    </row>
    <row r="58" spans="7:14" ht="18.75">
      <c r="G58" s="57"/>
      <c r="H58" s="57"/>
      <c r="I58" s="184"/>
      <c r="J58" s="57"/>
      <c r="K58" s="57"/>
      <c r="L58" s="184"/>
      <c r="M58" s="57"/>
      <c r="N58" s="57"/>
    </row>
    <row r="59" spans="7:14" ht="18.75">
      <c r="G59" s="57"/>
      <c r="H59" s="57"/>
      <c r="I59" s="184"/>
      <c r="J59" s="57"/>
      <c r="K59" s="57"/>
      <c r="L59" s="184"/>
      <c r="M59" s="57"/>
      <c r="N59" s="57"/>
    </row>
    <row r="60" spans="7:14" ht="18.75">
      <c r="G60" s="57"/>
      <c r="H60" s="57"/>
      <c r="I60" s="184"/>
      <c r="J60" s="57"/>
      <c r="K60" s="57"/>
      <c r="L60" s="184"/>
      <c r="M60" s="57"/>
      <c r="N60" s="57"/>
    </row>
    <row r="61" spans="7:14" ht="18.75">
      <c r="G61" s="57"/>
      <c r="H61" s="57"/>
      <c r="I61" s="184"/>
      <c r="J61" s="57"/>
      <c r="K61" s="57"/>
      <c r="L61" s="184"/>
      <c r="M61" s="57"/>
      <c r="N61" s="57"/>
    </row>
    <row r="62" spans="7:14" ht="18.75">
      <c r="G62" s="57"/>
      <c r="H62" s="57"/>
      <c r="I62" s="184"/>
      <c r="J62" s="57"/>
      <c r="K62" s="57"/>
      <c r="L62" s="184"/>
      <c r="M62" s="57"/>
      <c r="N62" s="57"/>
    </row>
    <row r="63" spans="7:14" ht="18.75">
      <c r="G63" s="57"/>
      <c r="H63" s="57"/>
      <c r="I63" s="184"/>
      <c r="J63" s="57"/>
      <c r="K63" s="57"/>
      <c r="L63" s="184"/>
      <c r="M63" s="57"/>
      <c r="N63" s="57"/>
    </row>
    <row r="64" spans="7:14" ht="18.75">
      <c r="G64" s="57"/>
      <c r="H64" s="57"/>
      <c r="I64" s="184"/>
      <c r="J64" s="57"/>
      <c r="K64" s="57"/>
      <c r="L64" s="184"/>
      <c r="M64" s="57"/>
      <c r="N64" s="57"/>
    </row>
    <row r="65" spans="7:14" ht="18.75">
      <c r="G65" s="57"/>
      <c r="H65" s="57"/>
      <c r="I65" s="184"/>
      <c r="J65" s="57"/>
      <c r="K65" s="57"/>
      <c r="L65" s="184"/>
      <c r="M65" s="57"/>
      <c r="N65" s="57"/>
    </row>
    <row r="66" spans="7:14" ht="18.75">
      <c r="G66" s="57"/>
      <c r="H66" s="57"/>
      <c r="I66" s="184"/>
      <c r="J66" s="57"/>
      <c r="K66" s="57"/>
      <c r="L66" s="184"/>
      <c r="M66" s="57"/>
      <c r="N66" s="57"/>
    </row>
    <row r="67" spans="7:14" ht="18.75">
      <c r="G67" s="57"/>
      <c r="H67" s="57"/>
      <c r="I67" s="184"/>
      <c r="J67" s="57"/>
      <c r="K67" s="57"/>
      <c r="L67" s="184"/>
      <c r="M67" s="57"/>
      <c r="N67" s="57"/>
    </row>
    <row r="68" spans="7:14" ht="18.75">
      <c r="G68" s="57"/>
      <c r="H68" s="57"/>
      <c r="I68" s="184"/>
      <c r="J68" s="57"/>
      <c r="K68" s="57"/>
      <c r="L68" s="184"/>
      <c r="M68" s="57"/>
      <c r="N68" s="57"/>
    </row>
    <row r="69" spans="7:14" ht="18.75">
      <c r="G69" s="57"/>
      <c r="H69" s="57"/>
      <c r="I69" s="184"/>
      <c r="J69" s="57"/>
      <c r="K69" s="57"/>
      <c r="L69" s="184"/>
      <c r="M69" s="57"/>
      <c r="N69" s="57"/>
    </row>
    <row r="70" spans="7:14" ht="18.75">
      <c r="G70" s="57"/>
      <c r="H70" s="57"/>
      <c r="I70" s="184"/>
      <c r="J70" s="57"/>
      <c r="K70" s="57"/>
      <c r="L70" s="184"/>
      <c r="M70" s="57"/>
      <c r="N70" s="57"/>
    </row>
    <row r="71" spans="7:14" ht="18.75">
      <c r="G71" s="57"/>
      <c r="H71" s="57"/>
      <c r="I71" s="184"/>
      <c r="J71" s="57"/>
      <c r="K71" s="57"/>
      <c r="L71" s="184"/>
      <c r="M71" s="57"/>
      <c r="N71" s="57"/>
    </row>
    <row r="72" spans="7:14" ht="18.75">
      <c r="G72" s="57"/>
      <c r="H72" s="57"/>
      <c r="I72" s="184"/>
      <c r="J72" s="57"/>
      <c r="K72" s="57"/>
      <c r="L72" s="184"/>
      <c r="M72" s="57"/>
      <c r="N72" s="57"/>
    </row>
    <row r="73" spans="7:14" ht="18.75">
      <c r="G73" s="57"/>
      <c r="H73" s="57"/>
      <c r="I73" s="184"/>
      <c r="J73" s="57"/>
      <c r="K73" s="57"/>
      <c r="L73" s="184"/>
      <c r="M73" s="57"/>
      <c r="N73" s="57"/>
    </row>
    <row r="74" spans="7:14" ht="18.75">
      <c r="G74" s="57"/>
      <c r="H74" s="57"/>
      <c r="I74" s="184"/>
      <c r="J74" s="57"/>
      <c r="K74" s="57"/>
      <c r="L74" s="184"/>
      <c r="M74" s="57"/>
      <c r="N74" s="57"/>
    </row>
    <row r="75" spans="7:14" ht="18.75">
      <c r="G75" s="57"/>
      <c r="H75" s="57"/>
      <c r="I75" s="184"/>
      <c r="J75" s="57"/>
      <c r="K75" s="57"/>
      <c r="L75" s="184"/>
      <c r="M75" s="57"/>
      <c r="N75" s="57"/>
    </row>
    <row r="76" spans="7:14" ht="18.75">
      <c r="G76" s="57"/>
      <c r="H76" s="57"/>
      <c r="I76" s="184"/>
      <c r="J76" s="57"/>
      <c r="K76" s="57"/>
      <c r="L76" s="184"/>
      <c r="M76" s="57"/>
      <c r="N76" s="57"/>
    </row>
    <row r="77" spans="7:14" ht="18.75">
      <c r="G77" s="57"/>
      <c r="H77" s="57"/>
      <c r="I77" s="184"/>
      <c r="J77" s="57"/>
      <c r="K77" s="57"/>
      <c r="L77" s="184"/>
      <c r="M77" s="57"/>
      <c r="N77" s="57"/>
    </row>
    <row r="78" spans="7:14" ht="18.75">
      <c r="G78" s="57"/>
      <c r="H78" s="57"/>
      <c r="I78" s="184"/>
      <c r="J78" s="57"/>
      <c r="K78" s="57"/>
      <c r="L78" s="184"/>
      <c r="M78" s="57"/>
      <c r="N78" s="57"/>
    </row>
    <row r="79" spans="7:14" ht="18.75">
      <c r="G79" s="57"/>
      <c r="H79" s="57"/>
      <c r="I79" s="184"/>
      <c r="J79" s="57"/>
      <c r="K79" s="57"/>
      <c r="L79" s="184"/>
      <c r="M79" s="57"/>
      <c r="N79" s="57"/>
    </row>
    <row r="80" spans="7:14" ht="18.75">
      <c r="G80" s="57"/>
      <c r="H80" s="57"/>
      <c r="I80" s="184"/>
      <c r="J80" s="57"/>
      <c r="K80" s="57"/>
      <c r="L80" s="184"/>
      <c r="M80" s="57"/>
      <c r="N80" s="57"/>
    </row>
    <row r="81" spans="7:14" ht="18.75">
      <c r="G81" s="57"/>
      <c r="H81" s="57"/>
      <c r="I81" s="184"/>
      <c r="J81" s="57"/>
      <c r="K81" s="57"/>
      <c r="L81" s="184"/>
      <c r="M81" s="57"/>
      <c r="N81" s="57"/>
    </row>
    <row r="82" spans="7:14" ht="18.75">
      <c r="G82" s="57"/>
      <c r="H82" s="57"/>
      <c r="I82" s="184"/>
      <c r="J82" s="57"/>
      <c r="K82" s="57"/>
      <c r="L82" s="184"/>
      <c r="M82" s="57"/>
      <c r="N82" s="57"/>
    </row>
    <row r="83" spans="7:14" ht="18.75">
      <c r="G83" s="57"/>
      <c r="H83" s="57"/>
      <c r="I83" s="184"/>
      <c r="J83" s="57"/>
      <c r="K83" s="57"/>
      <c r="L83" s="184"/>
      <c r="M83" s="57"/>
      <c r="N83" s="57"/>
    </row>
    <row r="84" spans="7:14" ht="18.75">
      <c r="G84" s="57"/>
      <c r="H84" s="57"/>
      <c r="I84" s="184"/>
      <c r="J84" s="57"/>
      <c r="K84" s="57"/>
      <c r="L84" s="184"/>
      <c r="M84" s="57"/>
      <c r="N84" s="57"/>
    </row>
    <row r="85" spans="7:14" ht="18.75">
      <c r="G85" s="57"/>
      <c r="H85" s="57"/>
      <c r="I85" s="184"/>
      <c r="J85" s="57"/>
      <c r="K85" s="57"/>
      <c r="L85" s="184"/>
      <c r="M85" s="57"/>
      <c r="N85" s="57"/>
    </row>
    <row r="86" spans="7:14" ht="18.75">
      <c r="G86" s="57"/>
      <c r="H86" s="57"/>
      <c r="I86" s="184"/>
      <c r="J86" s="57"/>
      <c r="K86" s="57"/>
      <c r="L86" s="184"/>
      <c r="M86" s="57"/>
      <c r="N86" s="57"/>
    </row>
    <row r="87" spans="7:14" ht="18.75">
      <c r="G87" s="57"/>
      <c r="H87" s="57"/>
      <c r="I87" s="184"/>
      <c r="J87" s="57"/>
      <c r="K87" s="57"/>
      <c r="L87" s="184"/>
      <c r="M87" s="57"/>
      <c r="N87" s="57"/>
    </row>
    <row r="88" spans="7:14" ht="18.75">
      <c r="G88" s="57"/>
      <c r="H88" s="57"/>
      <c r="I88" s="184"/>
      <c r="J88" s="57"/>
      <c r="K88" s="57"/>
      <c r="L88" s="184"/>
      <c r="M88" s="57"/>
      <c r="N88" s="57"/>
    </row>
    <row r="89" spans="7:14" ht="18.75">
      <c r="G89" s="57"/>
      <c r="H89" s="57"/>
      <c r="I89" s="184"/>
      <c r="J89" s="57"/>
      <c r="K89" s="57"/>
      <c r="L89" s="184"/>
      <c r="M89" s="57"/>
      <c r="N89" s="57"/>
    </row>
    <row r="90" spans="7:14" ht="18.75">
      <c r="G90" s="57"/>
      <c r="H90" s="57"/>
      <c r="I90" s="184"/>
      <c r="J90" s="57"/>
      <c r="K90" s="57"/>
      <c r="L90" s="184"/>
      <c r="M90" s="57"/>
      <c r="N90" s="57"/>
    </row>
    <row r="91" spans="7:14" ht="18.75">
      <c r="G91" s="57"/>
      <c r="H91" s="57"/>
      <c r="I91" s="184"/>
      <c r="J91" s="57"/>
      <c r="K91" s="57"/>
      <c r="L91" s="184"/>
      <c r="M91" s="57"/>
      <c r="N91" s="57"/>
    </row>
    <row r="92" spans="7:14" ht="18.75">
      <c r="G92" s="57"/>
      <c r="H92" s="57"/>
      <c r="I92" s="184"/>
      <c r="J92" s="57"/>
      <c r="K92" s="57"/>
      <c r="L92" s="184"/>
      <c r="M92" s="57"/>
      <c r="N92" s="57"/>
    </row>
    <row r="93" spans="7:14" ht="18.75">
      <c r="G93" s="57"/>
      <c r="H93" s="57"/>
      <c r="I93" s="184"/>
      <c r="J93" s="57"/>
      <c r="K93" s="57"/>
      <c r="L93" s="184"/>
      <c r="M93" s="57"/>
      <c r="N93" s="57"/>
    </row>
    <row r="94" spans="7:14" ht="18.75">
      <c r="G94" s="57"/>
      <c r="H94" s="57"/>
      <c r="I94" s="184"/>
      <c r="J94" s="57"/>
      <c r="K94" s="57"/>
      <c r="L94" s="184"/>
      <c r="M94" s="57"/>
      <c r="N94" s="57"/>
    </row>
    <row r="95" spans="7:14" ht="18.75">
      <c r="G95" s="57"/>
      <c r="H95" s="57"/>
      <c r="I95" s="184"/>
      <c r="J95" s="57"/>
      <c r="K95" s="57"/>
      <c r="L95" s="184"/>
      <c r="M95" s="57"/>
      <c r="N95" s="57"/>
    </row>
  </sheetData>
  <sheetProtection/>
  <mergeCells count="13">
    <mergeCell ref="I1:N1"/>
    <mergeCell ref="B2:N2"/>
    <mergeCell ref="B3:N3"/>
    <mergeCell ref="B4:F4"/>
    <mergeCell ref="D5:F5"/>
    <mergeCell ref="G5:I5"/>
    <mergeCell ref="J5:L5"/>
    <mergeCell ref="M5:M6"/>
    <mergeCell ref="N5:N6"/>
    <mergeCell ref="M45:N45"/>
    <mergeCell ref="A50:B50"/>
    <mergeCell ref="B49:F49"/>
    <mergeCell ref="C29:N29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2017-03-22T14:51:49Z</cp:lastPrinted>
  <dcterms:created xsi:type="dcterms:W3CDTF">2001-09-14T09:33:50Z</dcterms:created>
  <dcterms:modified xsi:type="dcterms:W3CDTF">2017-03-22T14:52:04Z</dcterms:modified>
  <cp:category/>
  <cp:version/>
  <cp:contentType/>
  <cp:contentStatus/>
</cp:coreProperties>
</file>